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pivotTables/pivotTable3.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https://nbbj4.sharepoint.com/sites/102376.00ucdhambulatoryclinicsprogramming/Shared Documents/General/03 Deliverables/03 Forecasting and Analytics/01 Forecasting/"/>
    </mc:Choice>
  </mc:AlternateContent>
  <xr:revisionPtr revIDLastSave="17" documentId="11_7E19B4E133A5540FB017948EE58F257DEE1AF8C7" xr6:coauthVersionLast="41" xr6:coauthVersionMax="41" xr10:uidLastSave="{7C4D9FD2-ED3F-415E-80FF-D1F0D33BF402}"/>
  <bookViews>
    <workbookView xWindow="-120" yWindow="-120" windowWidth="29040" windowHeight="15840" tabRatio="846" activeTab="1" xr2:uid="{00000000-000D-0000-FFFF-FFFF00000000}"/>
  </bookViews>
  <sheets>
    <sheet name="2018 ACC MP Overview" sheetId="51" r:id="rId1"/>
    <sheet name="2019 ACC Programming Overview" sheetId="3" r:id="rId2"/>
    <sheet name="Dashboards&gt;" sheetId="52" r:id="rId3"/>
    <sheet name="1. Physician Productivity" sheetId="18" r:id="rId4"/>
    <sheet name="2. Projection Comparison" sheetId="17" r:id="rId5"/>
    <sheet name="3. DI Forecasting" sheetId="33" r:id="rId6"/>
    <sheet name="4. Non-Invasive" sheetId="38" r:id="rId7"/>
    <sheet name="5. Proc Vol" sheetId="42" r:id="rId8"/>
    <sheet name="6. Peds Volume" sheetId="43" r:id="rId9"/>
    <sheet name="7. Staffing" sheetId="46" r:id="rId10"/>
    <sheet name="8. Staffing Model" sheetId="50" r:id="rId11"/>
    <sheet name="9. Building Occ'y" sheetId="49" r:id="rId12"/>
    <sheet name="10. Room Turns" sheetId="44" r:id="rId13"/>
    <sheet name="Data Sources&gt;" sheetId="54" r:id="rId14"/>
    <sheet name="Amb Visits" sheetId="31" r:id="rId15"/>
    <sheet name="Lab and Radiology ACC" sheetId="34" r:id="rId16"/>
    <sheet name="Procedure Volumes" sheetId="6" r:id="rId17"/>
    <sheet name="Employee Health" sheetId="45" r:id="rId18"/>
    <sheet name="Staffing Data" sheetId="19" r:id="rId19"/>
    <sheet name="capacity validation" sheetId="35" state="hidden" r:id="rId20"/>
    <sheet name="Sheet1" sheetId="37" state="hidden" r:id="rId21"/>
    <sheet name="MD Staffing" sheetId="15" r:id="rId22"/>
    <sheet name="Staffing Pivot" sheetId="29" r:id="rId23"/>
    <sheet name="Staffing Pivot 2" sheetId="47" r:id="rId24"/>
    <sheet name="Staffing Cohorts" sheetId="21" r:id="rId25"/>
    <sheet name="Staffing Other" sheetId="48" r:id="rId26"/>
  </sheets>
  <definedNames>
    <definedName name="_xlnm._FilterDatabase" localSheetId="14" hidden="1">'Amb Visits'!$A$1:$E$1</definedName>
    <definedName name="_xlnm._FilterDatabase" localSheetId="16" hidden="1">'Procedure Volumes'!$A$1:$A$1</definedName>
    <definedName name="_xlnm._FilterDatabase" localSheetId="18" hidden="1">'Staffing Data'!$A$1:$N$1</definedName>
    <definedName name="Slicer_Job_Code_Cohort">#N/A</definedName>
  </definedNames>
  <calcPr calcId="191029"/>
  <pivotCaches>
    <pivotCache cacheId="3" r:id="rId27"/>
    <pivotCache cacheId="4" r:id="rId28"/>
    <pivotCache cacheId="5" r:id="rId29"/>
  </pivotCaches>
  <extLst>
    <ext xmlns:x14="http://schemas.microsoft.com/office/spreadsheetml/2009/9/main" uri="{BBE1A952-AA13-448e-AADC-164F8A28A991}">
      <x14:slicerCaches>
        <x14:slicerCache r:id="rId3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1" i="46" l="1"/>
  <c r="B21" i="46"/>
  <c r="R20" i="46"/>
  <c r="R21" i="46" s="1"/>
  <c r="Q20" i="46"/>
  <c r="Q21" i="46" s="1"/>
  <c r="P20" i="46"/>
  <c r="P21" i="46" s="1"/>
  <c r="K20" i="46"/>
  <c r="J20" i="46"/>
  <c r="I20" i="46"/>
  <c r="H20" i="46"/>
  <c r="G20" i="46"/>
  <c r="F20" i="46"/>
  <c r="E20" i="46"/>
  <c r="C20" i="46"/>
  <c r="S19" i="46"/>
  <c r="V19" i="46" s="1"/>
  <c r="L19" i="46"/>
  <c r="U19" i="46" s="1"/>
  <c r="V18" i="46"/>
  <c r="W18" i="46" s="1"/>
  <c r="U18" i="46"/>
  <c r="S18" i="46"/>
  <c r="L18" i="46"/>
  <c r="T18" i="46" s="1"/>
  <c r="S17" i="46"/>
  <c r="V17" i="46" s="1"/>
  <c r="W17" i="46" s="1"/>
  <c r="L17" i="46"/>
  <c r="U17" i="46" s="1"/>
  <c r="V16" i="46"/>
  <c r="W16" i="46" s="1"/>
  <c r="U16" i="46"/>
  <c r="S16" i="46"/>
  <c r="L16" i="46"/>
  <c r="T16" i="46" s="1"/>
  <c r="S15" i="46"/>
  <c r="V15" i="46" s="1"/>
  <c r="L15" i="46"/>
  <c r="U15" i="46" s="1"/>
  <c r="U14" i="46"/>
  <c r="O14" i="46"/>
  <c r="S14" i="46" s="1"/>
  <c r="V14" i="46" s="1"/>
  <c r="W14" i="46" s="1"/>
  <c r="N14" i="46"/>
  <c r="N20" i="46" s="1"/>
  <c r="N21" i="46" s="1"/>
  <c r="L14" i="46"/>
  <c r="S13" i="46"/>
  <c r="V13" i="46" s="1"/>
  <c r="L13" i="46"/>
  <c r="T13" i="46" s="1"/>
  <c r="U12" i="46"/>
  <c r="T12" i="46"/>
  <c r="S12" i="46"/>
  <c r="V12" i="46" s="1"/>
  <c r="W12" i="46" s="1"/>
  <c r="L12" i="46"/>
  <c r="S11" i="46"/>
  <c r="V11" i="46" s="1"/>
  <c r="L11" i="46"/>
  <c r="U11" i="46" s="1"/>
  <c r="U10" i="46"/>
  <c r="T10" i="46"/>
  <c r="S10" i="46"/>
  <c r="V10" i="46" s="1"/>
  <c r="W10" i="46" s="1"/>
  <c r="L10" i="46"/>
  <c r="S9" i="46"/>
  <c r="V9" i="46" s="1"/>
  <c r="L9" i="46"/>
  <c r="T9" i="46" s="1"/>
  <c r="U8" i="46"/>
  <c r="T8" i="46"/>
  <c r="S8" i="46"/>
  <c r="V8" i="46" s="1"/>
  <c r="W8" i="46" s="1"/>
  <c r="L8" i="46"/>
  <c r="S7" i="46"/>
  <c r="V7" i="46" s="1"/>
  <c r="L7" i="46"/>
  <c r="U7" i="46" s="1"/>
  <c r="U6" i="46"/>
  <c r="S6" i="46"/>
  <c r="V6" i="46" s="1"/>
  <c r="W6" i="46" s="1"/>
  <c r="L6" i="46"/>
  <c r="S5" i="46"/>
  <c r="V5" i="46" s="1"/>
  <c r="L5" i="46"/>
  <c r="U5" i="46" s="1"/>
  <c r="U4" i="46"/>
  <c r="S4" i="46"/>
  <c r="V4" i="46" s="1"/>
  <c r="W4" i="46" s="1"/>
  <c r="L4" i="46"/>
  <c r="S3" i="46"/>
  <c r="S20" i="46" s="1"/>
  <c r="L3" i="46"/>
  <c r="U3" i="46" s="1"/>
  <c r="S21" i="46" l="1"/>
  <c r="V20" i="46"/>
  <c r="W5" i="46"/>
  <c r="T14" i="46"/>
  <c r="W9" i="46"/>
  <c r="W13" i="46"/>
  <c r="W11" i="46"/>
  <c r="W19" i="46"/>
  <c r="W7" i="46"/>
  <c r="W15" i="46"/>
  <c r="T7" i="46"/>
  <c r="T11" i="46"/>
  <c r="U9" i="46"/>
  <c r="U13" i="46"/>
  <c r="T5" i="46"/>
  <c r="V3" i="46"/>
  <c r="W3" i="46" s="1"/>
  <c r="T15" i="46"/>
  <c r="T17" i="46"/>
  <c r="T19" i="46"/>
  <c r="L20" i="46"/>
  <c r="U20" i="46" s="1"/>
  <c r="T3" i="46"/>
  <c r="O20" i="46"/>
  <c r="O21" i="46" s="1"/>
  <c r="T4" i="46"/>
  <c r="T6" i="46"/>
  <c r="X5" i="44"/>
  <c r="X10" i="44"/>
  <c r="W20" i="46" l="1"/>
  <c r="W21" i="46"/>
  <c r="X15" i="44"/>
  <c r="K7" i="48" l="1"/>
  <c r="K3" i="48"/>
  <c r="H20" i="48"/>
  <c r="H13" i="48"/>
  <c r="H5" i="48"/>
  <c r="E24" i="48"/>
  <c r="E19" i="48"/>
  <c r="E15" i="48"/>
  <c r="E9" i="48"/>
  <c r="B20" i="48"/>
  <c r="B14" i="48"/>
  <c r="B4" i="48"/>
  <c r="I13" i="31" l="1"/>
  <c r="H13" i="31"/>
  <c r="G13" i="31"/>
  <c r="I16" i="31"/>
  <c r="H16" i="31"/>
  <c r="G16" i="31"/>
  <c r="I24" i="31"/>
  <c r="H24" i="31"/>
  <c r="H25" i="31" s="1"/>
  <c r="G24" i="31"/>
  <c r="I29" i="31"/>
  <c r="H29" i="31"/>
  <c r="H30" i="31" s="1"/>
  <c r="G29" i="31"/>
  <c r="I44" i="31"/>
  <c r="H44" i="31"/>
  <c r="H45" i="31" s="1"/>
  <c r="G44" i="31"/>
  <c r="I48" i="31"/>
  <c r="H48" i="31"/>
  <c r="H49" i="31" s="1"/>
  <c r="G48" i="31"/>
  <c r="I57" i="31"/>
  <c r="H57" i="31"/>
  <c r="H58" i="31" s="1"/>
  <c r="G57" i="31"/>
  <c r="I61" i="31"/>
  <c r="H61" i="31"/>
  <c r="H62" i="31" s="1"/>
  <c r="G61" i="31"/>
  <c r="I64" i="31"/>
  <c r="H64" i="31"/>
  <c r="H65" i="31" s="1"/>
  <c r="G64" i="31"/>
  <c r="I67" i="31"/>
  <c r="H67" i="31"/>
  <c r="H68" i="31" s="1"/>
  <c r="G67" i="31"/>
  <c r="I108" i="31"/>
  <c r="H108" i="31"/>
  <c r="H109" i="31" s="1"/>
  <c r="G108" i="31"/>
  <c r="I105" i="31"/>
  <c r="H105" i="31"/>
  <c r="H106" i="31" s="1"/>
  <c r="G105" i="31"/>
  <c r="I102" i="31"/>
  <c r="H102" i="31"/>
  <c r="H103" i="31" s="1"/>
  <c r="G102" i="31"/>
  <c r="I99" i="31"/>
  <c r="H99" i="31"/>
  <c r="H100" i="31" s="1"/>
  <c r="G99" i="31"/>
  <c r="I88" i="31"/>
  <c r="H88" i="31"/>
  <c r="H89" i="31" s="1"/>
  <c r="G88" i="31"/>
  <c r="I82" i="31"/>
  <c r="H82" i="31"/>
  <c r="H83" i="31" s="1"/>
  <c r="G82" i="31"/>
  <c r="G19" i="35" l="1"/>
  <c r="C19" i="35"/>
  <c r="B19" i="35"/>
  <c r="F16" i="35"/>
  <c r="F9" i="35"/>
  <c r="E9" i="35"/>
  <c r="E4" i="35"/>
  <c r="E19" i="35" s="1"/>
  <c r="F2" i="35"/>
  <c r="F19" i="35" s="1"/>
  <c r="D82" i="31" l="1"/>
  <c r="E82" i="31"/>
  <c r="L35" i="29" l="1"/>
  <c r="M39" i="29" l="1"/>
  <c r="M42" i="29"/>
  <c r="M45" i="29"/>
  <c r="M52" i="29"/>
  <c r="E108" i="31"/>
  <c r="D108" i="31"/>
  <c r="E105" i="31"/>
  <c r="D105" i="31"/>
  <c r="E102" i="31"/>
  <c r="D102" i="31"/>
  <c r="E99" i="31"/>
  <c r="D99" i="31"/>
  <c r="E88" i="31"/>
  <c r="D88" i="31"/>
  <c r="E67" i="31"/>
  <c r="D67" i="31"/>
  <c r="E64" i="31"/>
  <c r="D64" i="31"/>
  <c r="E61" i="31"/>
  <c r="D61" i="31"/>
  <c r="E57" i="31"/>
  <c r="D57" i="31"/>
  <c r="E48" i="31"/>
  <c r="D48" i="31"/>
  <c r="E44" i="31"/>
  <c r="D44" i="31"/>
  <c r="E29" i="31"/>
  <c r="D29" i="31"/>
  <c r="E24" i="31"/>
  <c r="D24" i="31"/>
  <c r="E16" i="31"/>
  <c r="D16" i="31"/>
  <c r="E13" i="31"/>
  <c r="D13" i="31"/>
  <c r="M46" i="29" l="1"/>
  <c r="M47" i="29"/>
  <c r="M48" i="29"/>
  <c r="M53" i="29"/>
  <c r="M38" i="29"/>
  <c r="M44" i="29"/>
  <c r="M43" i="29"/>
  <c r="M54" i="29"/>
  <c r="M41" i="29"/>
  <c r="M40" i="29"/>
  <c r="M51" i="29"/>
  <c r="M50" i="29"/>
  <c r="N53" i="29" l="1"/>
  <c r="S19" i="29"/>
  <c r="R23" i="29"/>
  <c r="S5" i="29"/>
  <c r="S7" i="29"/>
  <c r="S8" i="29"/>
  <c r="S9" i="29"/>
  <c r="S10" i="29"/>
  <c r="S11" i="29"/>
  <c r="S12" i="29"/>
  <c r="S13" i="29"/>
  <c r="S14" i="29"/>
  <c r="S15" i="29"/>
  <c r="S16" i="29"/>
  <c r="S17" i="29"/>
  <c r="S18" i="29"/>
  <c r="S4" i="29"/>
  <c r="M6" i="29"/>
  <c r="N6" i="29"/>
  <c r="O6" i="29"/>
  <c r="P6" i="29"/>
  <c r="Q6" i="29"/>
  <c r="R6" i="29"/>
  <c r="L6" i="29"/>
  <c r="S35" i="29" l="1"/>
  <c r="R53" i="29" s="1"/>
  <c r="N22" i="29"/>
  <c r="P38" i="29" s="1"/>
  <c r="S25" i="29"/>
  <c r="R43" i="29" s="1"/>
  <c r="P35" i="29"/>
  <c r="M25" i="29"/>
  <c r="O43" i="29" s="1"/>
  <c r="R35" i="29"/>
  <c r="Q35" i="29"/>
  <c r="M22" i="29"/>
  <c r="O38" i="29" s="1"/>
  <c r="O35" i="29"/>
  <c r="Q53" i="29" s="1"/>
  <c r="P30" i="29"/>
  <c r="N24" i="29"/>
  <c r="P41" i="29" s="1"/>
  <c r="S23" i="29"/>
  <c r="R40" i="29" s="1"/>
  <c r="N35" i="29"/>
  <c r="P53" i="29" s="1"/>
  <c r="S34" i="29"/>
  <c r="R54" i="29" s="1"/>
  <c r="M35" i="29"/>
  <c r="O53" i="29" s="1"/>
  <c r="O25" i="29"/>
  <c r="Q43" i="29" s="1"/>
  <c r="N32" i="29"/>
  <c r="P50" i="29" s="1"/>
  <c r="S33" i="29"/>
  <c r="R51" i="29" s="1"/>
  <c r="S31" i="29"/>
  <c r="M31" i="29"/>
  <c r="Q23" i="29"/>
  <c r="S32" i="29"/>
  <c r="R50" i="29" s="1"/>
  <c r="O29" i="29"/>
  <c r="Q48" i="29" s="1"/>
  <c r="N30" i="29"/>
  <c r="R28" i="29"/>
  <c r="L25" i="29"/>
  <c r="N43" i="29" s="1"/>
  <c r="P28" i="29"/>
  <c r="R22" i="29"/>
  <c r="S29" i="29"/>
  <c r="R48" i="29" s="1"/>
  <c r="P34" i="29"/>
  <c r="Q27" i="29"/>
  <c r="L31" i="29"/>
  <c r="L27" i="29"/>
  <c r="N46" i="29" s="1"/>
  <c r="Q22" i="29"/>
  <c r="S28" i="29"/>
  <c r="R47" i="29" s="1"/>
  <c r="M27" i="29"/>
  <c r="O46" i="29" s="1"/>
  <c r="P22" i="29"/>
  <c r="S27" i="29"/>
  <c r="R46" i="29" s="1"/>
  <c r="Q33" i="29"/>
  <c r="R26" i="29"/>
  <c r="O22" i="29"/>
  <c r="Q38" i="29" s="1"/>
  <c r="S26" i="29"/>
  <c r="R44" i="29" s="1"/>
  <c r="R32" i="29"/>
  <c r="S6" i="29"/>
  <c r="S22" i="29" s="1"/>
  <c r="R38" i="29" s="1"/>
  <c r="L26" i="29"/>
  <c r="N44" i="29" s="1"/>
  <c r="R33" i="29"/>
  <c r="M32" i="29"/>
  <c r="O50" i="29" s="1"/>
  <c r="O30" i="29"/>
  <c r="Q28" i="29"/>
  <c r="N25" i="29"/>
  <c r="P43" i="29" s="1"/>
  <c r="P23" i="29"/>
  <c r="M30" i="29"/>
  <c r="N23" i="29"/>
  <c r="P40" i="29" s="1"/>
  <c r="O23" i="29"/>
  <c r="Q40" i="29" s="1"/>
  <c r="P33" i="29"/>
  <c r="O28" i="29"/>
  <c r="Q47" i="29" s="1"/>
  <c r="S24" i="29"/>
  <c r="R41" i="29" s="1"/>
  <c r="L22" i="29"/>
  <c r="N38" i="29" s="1"/>
  <c r="L23" i="29"/>
  <c r="N40" i="29" s="1"/>
  <c r="O33" i="29"/>
  <c r="Q51" i="29" s="1"/>
  <c r="Q31" i="29"/>
  <c r="N28" i="29"/>
  <c r="P47" i="29" s="1"/>
  <c r="P26" i="29"/>
  <c r="R24" i="29"/>
  <c r="M23" i="29"/>
  <c r="O40" i="29" s="1"/>
  <c r="L34" i="29"/>
  <c r="N54" i="29" s="1"/>
  <c r="N33" i="29"/>
  <c r="P51" i="29" s="1"/>
  <c r="P31" i="29"/>
  <c r="R29" i="29"/>
  <c r="M28" i="29"/>
  <c r="O47" i="29" s="1"/>
  <c r="O26" i="29"/>
  <c r="Q44" i="29" s="1"/>
  <c r="Q24" i="29"/>
  <c r="L24" i="29"/>
  <c r="N41" i="29" s="1"/>
  <c r="R31" i="29"/>
  <c r="Q26" i="29"/>
  <c r="L33" i="29"/>
  <c r="N51" i="29" s="1"/>
  <c r="R34" i="29"/>
  <c r="M33" i="29"/>
  <c r="O51" i="29" s="1"/>
  <c r="O31" i="29"/>
  <c r="Q29" i="29"/>
  <c r="N26" i="29"/>
  <c r="P44" i="29" s="1"/>
  <c r="P24" i="29"/>
  <c r="L32" i="29"/>
  <c r="N50" i="29" s="1"/>
  <c r="Q34" i="29"/>
  <c r="N31" i="29"/>
  <c r="P29" i="29"/>
  <c r="R27" i="29"/>
  <c r="M26" i="29"/>
  <c r="O44" i="29" s="1"/>
  <c r="O24" i="29"/>
  <c r="Q41" i="29" s="1"/>
  <c r="L30" i="29"/>
  <c r="O34" i="29"/>
  <c r="Q54" i="29" s="1"/>
  <c r="Q32" i="29"/>
  <c r="S30" i="29"/>
  <c r="N29" i="29"/>
  <c r="P48" i="29" s="1"/>
  <c r="P27" i="29"/>
  <c r="R25" i="29"/>
  <c r="M24" i="29"/>
  <c r="O41" i="29" s="1"/>
  <c r="L29" i="29"/>
  <c r="N48" i="29" s="1"/>
  <c r="N34" i="29"/>
  <c r="P54" i="29" s="1"/>
  <c r="P32" i="29"/>
  <c r="R30" i="29"/>
  <c r="M29" i="29"/>
  <c r="O48" i="29" s="1"/>
  <c r="O27" i="29"/>
  <c r="Q46" i="29" s="1"/>
  <c r="Q25" i="29"/>
  <c r="L28" i="29"/>
  <c r="N47" i="29" s="1"/>
  <c r="M34" i="29"/>
  <c r="O54" i="29" s="1"/>
  <c r="O32" i="29"/>
  <c r="Q50" i="29" s="1"/>
  <c r="Q30" i="29"/>
  <c r="N27" i="29"/>
  <c r="P46" i="29" s="1"/>
  <c r="P25" i="29"/>
  <c r="D3" i="19" l="1"/>
  <c r="D4" i="19"/>
  <c r="D5" i="19"/>
  <c r="D6" i="19"/>
  <c r="D7" i="19"/>
  <c r="D8" i="19"/>
  <c r="D9" i="19"/>
  <c r="D10" i="19"/>
  <c r="D11" i="19"/>
  <c r="D12" i="19"/>
  <c r="D13" i="19"/>
  <c r="D14" i="19"/>
  <c r="D15" i="19"/>
  <c r="D16" i="19"/>
  <c r="D17" i="19"/>
  <c r="D18" i="19"/>
  <c r="D19" i="19"/>
  <c r="D20" i="19"/>
  <c r="D21" i="19"/>
  <c r="D22" i="19"/>
  <c r="D23" i="19"/>
  <c r="D24" i="19"/>
  <c r="D25" i="19"/>
  <c r="D26" i="19"/>
  <c r="D27" i="19"/>
  <c r="D28" i="19"/>
  <c r="D29" i="19"/>
  <c r="D30" i="19"/>
  <c r="D31" i="19"/>
  <c r="D32" i="19"/>
  <c r="D33" i="19"/>
  <c r="D34" i="19"/>
  <c r="D35" i="19"/>
  <c r="D36" i="19"/>
  <c r="D37" i="19"/>
  <c r="D38" i="19"/>
  <c r="D39" i="19"/>
  <c r="D40" i="19"/>
  <c r="D41" i="19"/>
  <c r="D42" i="19"/>
  <c r="D43" i="19"/>
  <c r="D44" i="19"/>
  <c r="D45" i="19"/>
  <c r="D46" i="19"/>
  <c r="D47" i="19"/>
  <c r="D48" i="19"/>
  <c r="D49" i="19"/>
  <c r="D50" i="19"/>
  <c r="D51" i="19"/>
  <c r="D52" i="19"/>
  <c r="D53" i="19"/>
  <c r="D54" i="19"/>
  <c r="D55" i="19"/>
  <c r="D56" i="19"/>
  <c r="D57" i="19"/>
  <c r="D58" i="19"/>
  <c r="D59" i="19"/>
  <c r="D60" i="19"/>
  <c r="D61" i="19"/>
  <c r="D62" i="19"/>
  <c r="D63" i="19"/>
  <c r="D64" i="19"/>
  <c r="D65" i="19"/>
  <c r="D66" i="19"/>
  <c r="D67" i="19"/>
  <c r="D68" i="19"/>
  <c r="D69" i="19"/>
  <c r="D70" i="19"/>
  <c r="D71" i="19"/>
  <c r="D72" i="19"/>
  <c r="D73" i="19"/>
  <c r="D74" i="19"/>
  <c r="D75" i="19"/>
  <c r="D76" i="19"/>
  <c r="D77" i="19"/>
  <c r="D78" i="19"/>
  <c r="D79" i="19"/>
  <c r="D80" i="19"/>
  <c r="D81" i="19"/>
  <c r="D82" i="19"/>
  <c r="D83" i="19"/>
  <c r="D84" i="19"/>
  <c r="D85" i="19"/>
  <c r="D86" i="19"/>
  <c r="D87" i="19"/>
  <c r="D88" i="19"/>
  <c r="D89" i="19"/>
  <c r="D90" i="19"/>
  <c r="D91" i="19"/>
  <c r="D92" i="19"/>
  <c r="D93" i="19"/>
  <c r="D94" i="19"/>
  <c r="D95" i="19"/>
  <c r="D96" i="19"/>
  <c r="D97" i="19"/>
  <c r="D98" i="19"/>
  <c r="D99" i="19"/>
  <c r="D100" i="19"/>
  <c r="D101" i="19"/>
  <c r="D102" i="19"/>
  <c r="D103" i="19"/>
  <c r="D104" i="19"/>
  <c r="D105" i="19"/>
  <c r="D106" i="19"/>
  <c r="D107" i="19"/>
  <c r="D108" i="19"/>
  <c r="D109" i="19"/>
  <c r="D110" i="19"/>
  <c r="D111" i="19"/>
  <c r="D112" i="19"/>
  <c r="D113" i="19"/>
  <c r="D114" i="19"/>
  <c r="D115" i="19"/>
  <c r="D116" i="19"/>
  <c r="D117" i="19"/>
  <c r="D118" i="19"/>
  <c r="D119" i="19"/>
  <c r="D120" i="19"/>
  <c r="D121" i="19"/>
  <c r="D122" i="19"/>
  <c r="D123" i="19"/>
  <c r="D124" i="19"/>
  <c r="D125" i="19"/>
  <c r="D126" i="19"/>
  <c r="D127" i="19"/>
  <c r="D128" i="19"/>
  <c r="D129" i="19"/>
  <c r="D130" i="19"/>
  <c r="D131" i="19"/>
  <c r="D132" i="19"/>
  <c r="D133" i="19"/>
  <c r="D134" i="19"/>
  <c r="D135" i="19"/>
  <c r="D136" i="19"/>
  <c r="D137" i="19"/>
  <c r="D138" i="19"/>
  <c r="D139" i="19"/>
  <c r="D140" i="19"/>
  <c r="D141" i="19"/>
  <c r="D142" i="19"/>
  <c r="D143" i="19"/>
  <c r="D144" i="19"/>
  <c r="D145" i="19"/>
  <c r="D146" i="19"/>
  <c r="D147" i="19"/>
  <c r="D148" i="19"/>
  <c r="D149" i="19"/>
  <c r="D150" i="19"/>
  <c r="D151" i="19"/>
  <c r="D152" i="19"/>
  <c r="D153" i="19"/>
  <c r="D154" i="19"/>
  <c r="D155" i="19"/>
  <c r="D156" i="19"/>
  <c r="D157" i="19"/>
  <c r="D158" i="19"/>
  <c r="D159" i="19"/>
  <c r="D160" i="19"/>
  <c r="D161" i="19"/>
  <c r="D162" i="19"/>
  <c r="D163" i="19"/>
  <c r="D164" i="19"/>
  <c r="D165" i="19"/>
  <c r="D166" i="19"/>
  <c r="D167" i="19"/>
  <c r="D168" i="19"/>
  <c r="D169" i="19"/>
  <c r="D170" i="19"/>
  <c r="D171" i="19"/>
  <c r="D172" i="19"/>
  <c r="D173" i="19"/>
  <c r="D174" i="19"/>
  <c r="D175" i="19"/>
  <c r="D176" i="19"/>
  <c r="D177" i="19"/>
  <c r="D178" i="19"/>
  <c r="D179" i="19"/>
  <c r="D180" i="19"/>
  <c r="D181" i="19"/>
  <c r="D182" i="19"/>
  <c r="D183" i="19"/>
  <c r="D184" i="19"/>
  <c r="D185" i="19"/>
  <c r="D186" i="19"/>
  <c r="D187" i="19"/>
  <c r="D188" i="19"/>
  <c r="D189" i="19"/>
  <c r="D190" i="19"/>
  <c r="D191" i="19"/>
  <c r="D192" i="19"/>
  <c r="D193" i="19"/>
  <c r="D194" i="19"/>
  <c r="D195" i="19"/>
  <c r="D196" i="19"/>
  <c r="D197" i="19"/>
  <c r="D198" i="19"/>
  <c r="D199" i="19"/>
  <c r="D200" i="19"/>
  <c r="D201" i="19"/>
  <c r="D202" i="19"/>
  <c r="D203" i="19"/>
  <c r="D204" i="19"/>
  <c r="D205" i="19"/>
  <c r="D206" i="19"/>
  <c r="D207" i="19"/>
  <c r="D208" i="19"/>
  <c r="D209" i="19"/>
  <c r="D210" i="19"/>
  <c r="D211" i="19"/>
  <c r="D212" i="19"/>
  <c r="D213" i="19"/>
  <c r="D214" i="19"/>
  <c r="D215" i="19"/>
  <c r="D216" i="19"/>
  <c r="D217" i="19"/>
  <c r="D218" i="19"/>
  <c r="D219" i="19"/>
  <c r="D220" i="19"/>
  <c r="D221" i="19"/>
  <c r="D222" i="19"/>
  <c r="D223" i="19"/>
  <c r="D224" i="19"/>
  <c r="D225" i="19"/>
  <c r="D226" i="19"/>
  <c r="D227" i="19"/>
  <c r="D228" i="19"/>
  <c r="D229" i="19"/>
  <c r="D230" i="19"/>
  <c r="D231" i="19"/>
  <c r="D232" i="19"/>
  <c r="D2" i="19"/>
  <c r="M3" i="19"/>
  <c r="N3" i="19" s="1"/>
  <c r="M4" i="19"/>
  <c r="N4" i="19" s="1"/>
  <c r="M5" i="19"/>
  <c r="N5" i="19" s="1"/>
  <c r="M6" i="19"/>
  <c r="N6" i="19" s="1"/>
  <c r="M7" i="19"/>
  <c r="N7" i="19" s="1"/>
  <c r="I4" i="21" s="1"/>
  <c r="M8" i="19"/>
  <c r="N8" i="19" s="1"/>
  <c r="M9" i="19"/>
  <c r="N9" i="19" s="1"/>
  <c r="M10" i="19"/>
  <c r="N10" i="19" s="1"/>
  <c r="I5" i="21" s="1"/>
  <c r="M11" i="19"/>
  <c r="N11" i="19" s="1"/>
  <c r="I6" i="21" s="1"/>
  <c r="M12" i="19"/>
  <c r="N12" i="19" s="1"/>
  <c r="M13" i="19"/>
  <c r="N13" i="19" s="1"/>
  <c r="I7" i="21" s="1"/>
  <c r="M14" i="19"/>
  <c r="N14" i="19" s="1"/>
  <c r="M15" i="19"/>
  <c r="N15" i="19" s="1"/>
  <c r="M16" i="19"/>
  <c r="N16" i="19" s="1"/>
  <c r="I8" i="21" s="1"/>
  <c r="M17" i="19"/>
  <c r="N17" i="19" s="1"/>
  <c r="M18" i="19"/>
  <c r="N18" i="19" s="1"/>
  <c r="I9" i="21" s="1"/>
  <c r="M19" i="19"/>
  <c r="N19" i="19" s="1"/>
  <c r="M20" i="19"/>
  <c r="N20" i="19" s="1"/>
  <c r="M21" i="19"/>
  <c r="N21" i="19" s="1"/>
  <c r="M22" i="19"/>
  <c r="N22" i="19" s="1"/>
  <c r="M23" i="19"/>
  <c r="N23" i="19" s="1"/>
  <c r="M24" i="19"/>
  <c r="N24" i="19" s="1"/>
  <c r="M25" i="19"/>
  <c r="N25" i="19" s="1"/>
  <c r="M26" i="19"/>
  <c r="N26" i="19" s="1"/>
  <c r="I10" i="21" s="1"/>
  <c r="M27" i="19"/>
  <c r="N27" i="19" s="1"/>
  <c r="I11" i="21" s="1"/>
  <c r="M28" i="19"/>
  <c r="N28" i="19" s="1"/>
  <c r="M29" i="19"/>
  <c r="N29" i="19" s="1"/>
  <c r="M30" i="19"/>
  <c r="N30" i="19" s="1"/>
  <c r="I12" i="21" s="1"/>
  <c r="M31" i="19"/>
  <c r="N31" i="19" s="1"/>
  <c r="I13" i="21" s="1"/>
  <c r="M32" i="19"/>
  <c r="N32" i="19" s="1"/>
  <c r="I14" i="21" s="1"/>
  <c r="M33" i="19"/>
  <c r="N33" i="19" s="1"/>
  <c r="I15" i="21" s="1"/>
  <c r="M34" i="19"/>
  <c r="N34" i="19" s="1"/>
  <c r="M35" i="19"/>
  <c r="N35" i="19" s="1"/>
  <c r="I16" i="21" s="1"/>
  <c r="M36" i="19"/>
  <c r="N36" i="19" s="1"/>
  <c r="M37" i="19"/>
  <c r="N37" i="19" s="1"/>
  <c r="M38" i="19"/>
  <c r="N38" i="19" s="1"/>
  <c r="M39" i="19"/>
  <c r="N39" i="19" s="1"/>
  <c r="M40" i="19"/>
  <c r="N40" i="19" s="1"/>
  <c r="M41" i="19"/>
  <c r="N41" i="19" s="1"/>
  <c r="I17" i="21" s="1"/>
  <c r="M42" i="19"/>
  <c r="N42" i="19" s="1"/>
  <c r="I18" i="21" s="1"/>
  <c r="M43" i="19"/>
  <c r="N43" i="19" s="1"/>
  <c r="I19" i="21" s="1"/>
  <c r="M44" i="19"/>
  <c r="N44" i="19" s="1"/>
  <c r="M45" i="19"/>
  <c r="N45" i="19" s="1"/>
  <c r="M46" i="19"/>
  <c r="N46" i="19" s="1"/>
  <c r="M47" i="19"/>
  <c r="N47" i="19" s="1"/>
  <c r="I20" i="21" s="1"/>
  <c r="M48" i="19"/>
  <c r="N48" i="19" s="1"/>
  <c r="M49" i="19"/>
  <c r="N49" i="19" s="1"/>
  <c r="I21" i="21" s="1"/>
  <c r="M50" i="19"/>
  <c r="N50" i="19" s="1"/>
  <c r="M51" i="19"/>
  <c r="N51" i="19" s="1"/>
  <c r="M52" i="19"/>
  <c r="N52" i="19" s="1"/>
  <c r="M53" i="19"/>
  <c r="N53" i="19" s="1"/>
  <c r="M54" i="19"/>
  <c r="N54" i="19" s="1"/>
  <c r="M55" i="19"/>
  <c r="N55" i="19" s="1"/>
  <c r="M56" i="19"/>
  <c r="N56" i="19" s="1"/>
  <c r="M57" i="19"/>
  <c r="N57" i="19" s="1"/>
  <c r="M58" i="19"/>
  <c r="N58" i="19" s="1"/>
  <c r="M59" i="19"/>
  <c r="N59" i="19" s="1"/>
  <c r="M60" i="19"/>
  <c r="N60" i="19" s="1"/>
  <c r="M61" i="19"/>
  <c r="N61" i="19" s="1"/>
  <c r="M62" i="19"/>
  <c r="N62" i="19" s="1"/>
  <c r="M63" i="19"/>
  <c r="N63" i="19" s="1"/>
  <c r="M64" i="19"/>
  <c r="N64" i="19" s="1"/>
  <c r="M65" i="19"/>
  <c r="N65" i="19" s="1"/>
  <c r="M66" i="19"/>
  <c r="N66" i="19" s="1"/>
  <c r="I22" i="21" s="1"/>
  <c r="M67" i="19"/>
  <c r="N67" i="19" s="1"/>
  <c r="M68" i="19"/>
  <c r="N68" i="19" s="1"/>
  <c r="M69" i="19"/>
  <c r="N69" i="19" s="1"/>
  <c r="M70" i="19"/>
  <c r="N70" i="19" s="1"/>
  <c r="M71" i="19"/>
  <c r="N71" i="19" s="1"/>
  <c r="M72" i="19"/>
  <c r="N72" i="19" s="1"/>
  <c r="M73" i="19"/>
  <c r="N73" i="19" s="1"/>
  <c r="I23" i="21" s="1"/>
  <c r="M74" i="19"/>
  <c r="N74" i="19" s="1"/>
  <c r="M75" i="19"/>
  <c r="N75" i="19" s="1"/>
  <c r="I24" i="21" s="1"/>
  <c r="M76" i="19"/>
  <c r="N76" i="19" s="1"/>
  <c r="M77" i="19"/>
  <c r="N77" i="19" s="1"/>
  <c r="M78" i="19"/>
  <c r="N78" i="19" s="1"/>
  <c r="M79" i="19"/>
  <c r="N79" i="19" s="1"/>
  <c r="M80" i="19"/>
  <c r="N80" i="19" s="1"/>
  <c r="I25" i="21" s="1"/>
  <c r="M81" i="19"/>
  <c r="N81" i="19" s="1"/>
  <c r="M82" i="19"/>
  <c r="N82" i="19" s="1"/>
  <c r="M83" i="19"/>
  <c r="N83" i="19" s="1"/>
  <c r="I26" i="21" s="1"/>
  <c r="M84" i="19"/>
  <c r="N84" i="19" s="1"/>
  <c r="I27" i="21" s="1"/>
  <c r="M85" i="19"/>
  <c r="N85" i="19" s="1"/>
  <c r="I28" i="21" s="1"/>
  <c r="M86" i="19"/>
  <c r="N86" i="19" s="1"/>
  <c r="I29" i="21" s="1"/>
  <c r="M87" i="19"/>
  <c r="N87" i="19" s="1"/>
  <c r="I30" i="21" s="1"/>
  <c r="M88" i="19"/>
  <c r="N88" i="19" s="1"/>
  <c r="M89" i="19"/>
  <c r="N89" i="19" s="1"/>
  <c r="I31" i="21" s="1"/>
  <c r="M90" i="19"/>
  <c r="N90" i="19" s="1"/>
  <c r="I32" i="21" s="1"/>
  <c r="M91" i="19"/>
  <c r="N91" i="19" s="1"/>
  <c r="M92" i="19"/>
  <c r="N92" i="19" s="1"/>
  <c r="M93" i="19"/>
  <c r="N93" i="19" s="1"/>
  <c r="M94" i="19"/>
  <c r="N94" i="19" s="1"/>
  <c r="I33" i="21" s="1"/>
  <c r="M95" i="19"/>
  <c r="N95" i="19" s="1"/>
  <c r="M96" i="19"/>
  <c r="N96" i="19" s="1"/>
  <c r="I34" i="21" s="1"/>
  <c r="M97" i="19"/>
  <c r="N97" i="19" s="1"/>
  <c r="I35" i="21" s="1"/>
  <c r="M98" i="19"/>
  <c r="N98" i="19" s="1"/>
  <c r="M99" i="19"/>
  <c r="N99" i="19" s="1"/>
  <c r="M100" i="19"/>
  <c r="N100" i="19" s="1"/>
  <c r="M101" i="19"/>
  <c r="N101" i="19" s="1"/>
  <c r="I36" i="21" s="1"/>
  <c r="M102" i="19"/>
  <c r="N102" i="19" s="1"/>
  <c r="M103" i="19"/>
  <c r="N103" i="19" s="1"/>
  <c r="M104" i="19"/>
  <c r="N104" i="19" s="1"/>
  <c r="M105" i="19"/>
  <c r="N105" i="19" s="1"/>
  <c r="M106" i="19"/>
  <c r="N106" i="19" s="1"/>
  <c r="M107" i="19"/>
  <c r="N107" i="19" s="1"/>
  <c r="M108" i="19"/>
  <c r="N108" i="19" s="1"/>
  <c r="M109" i="19"/>
  <c r="N109" i="19" s="1"/>
  <c r="M110" i="19"/>
  <c r="N110" i="19" s="1"/>
  <c r="M111" i="19"/>
  <c r="N111" i="19" s="1"/>
  <c r="M112" i="19"/>
  <c r="N112" i="19" s="1"/>
  <c r="M113" i="19"/>
  <c r="N113" i="19" s="1"/>
  <c r="M114" i="19"/>
  <c r="N114" i="19" s="1"/>
  <c r="I37" i="21" s="1"/>
  <c r="M115" i="19"/>
  <c r="N115" i="19" s="1"/>
  <c r="M116" i="19"/>
  <c r="N116" i="19" s="1"/>
  <c r="M117" i="19"/>
  <c r="N117" i="19" s="1"/>
  <c r="M118" i="19"/>
  <c r="N118" i="19" s="1"/>
  <c r="I38" i="21" s="1"/>
  <c r="M119" i="19"/>
  <c r="N119" i="19" s="1"/>
  <c r="I39" i="21" s="1"/>
  <c r="M120" i="19"/>
  <c r="N120" i="19" s="1"/>
  <c r="M121" i="19"/>
  <c r="N121" i="19" s="1"/>
  <c r="I40" i="21" s="1"/>
  <c r="M122" i="19"/>
  <c r="N122" i="19" s="1"/>
  <c r="I41" i="21" s="1"/>
  <c r="M123" i="19"/>
  <c r="N123" i="19" s="1"/>
  <c r="M124" i="19"/>
  <c r="N124" i="19" s="1"/>
  <c r="I42" i="21" s="1"/>
  <c r="M125" i="19"/>
  <c r="N125" i="19" s="1"/>
  <c r="M126" i="19"/>
  <c r="N126" i="19" s="1"/>
  <c r="M127" i="19"/>
  <c r="N127" i="19" s="1"/>
  <c r="I43" i="21" s="1"/>
  <c r="M128" i="19"/>
  <c r="N128" i="19" s="1"/>
  <c r="M129" i="19"/>
  <c r="N129" i="19" s="1"/>
  <c r="I44" i="21" s="1"/>
  <c r="M130" i="19"/>
  <c r="N130" i="19" s="1"/>
  <c r="I45" i="21" s="1"/>
  <c r="M131" i="19"/>
  <c r="N131" i="19" s="1"/>
  <c r="M132" i="19"/>
  <c r="N132" i="19" s="1"/>
  <c r="M133" i="19"/>
  <c r="N133" i="19" s="1"/>
  <c r="M134" i="19"/>
  <c r="N134" i="19" s="1"/>
  <c r="I46" i="21" s="1"/>
  <c r="M135" i="19"/>
  <c r="N135" i="19" s="1"/>
  <c r="M136" i="19"/>
  <c r="N136" i="19" s="1"/>
  <c r="M137" i="19"/>
  <c r="N137" i="19" s="1"/>
  <c r="I47" i="21" s="1"/>
  <c r="M138" i="19"/>
  <c r="N138" i="19" s="1"/>
  <c r="M139" i="19"/>
  <c r="N139" i="19" s="1"/>
  <c r="M140" i="19"/>
  <c r="N140" i="19" s="1"/>
  <c r="M141" i="19"/>
  <c r="N141" i="19" s="1"/>
  <c r="M142" i="19"/>
  <c r="N142" i="19" s="1"/>
  <c r="I48" i="21" s="1"/>
  <c r="M143" i="19"/>
  <c r="N143" i="19" s="1"/>
  <c r="M144" i="19"/>
  <c r="N144" i="19" s="1"/>
  <c r="I49" i="21" s="1"/>
  <c r="M145" i="19"/>
  <c r="N145" i="19" s="1"/>
  <c r="M146" i="19"/>
  <c r="N146" i="19" s="1"/>
  <c r="M147" i="19"/>
  <c r="N147" i="19" s="1"/>
  <c r="I50" i="21" s="1"/>
  <c r="M148" i="19"/>
  <c r="N148" i="19" s="1"/>
  <c r="M149" i="19"/>
  <c r="N149" i="19" s="1"/>
  <c r="I51" i="21" s="1"/>
  <c r="M150" i="19"/>
  <c r="N150" i="19" s="1"/>
  <c r="M151" i="19"/>
  <c r="N151" i="19" s="1"/>
  <c r="M152" i="19"/>
  <c r="N152" i="19" s="1"/>
  <c r="M153" i="19"/>
  <c r="N153" i="19" s="1"/>
  <c r="I52" i="21" s="1"/>
  <c r="M154" i="19"/>
  <c r="N154" i="19" s="1"/>
  <c r="M155" i="19"/>
  <c r="N155" i="19" s="1"/>
  <c r="M156" i="19"/>
  <c r="N156" i="19" s="1"/>
  <c r="I53" i="21" s="1"/>
  <c r="M157" i="19"/>
  <c r="N157" i="19" s="1"/>
  <c r="M2" i="19"/>
  <c r="N2" i="19" s="1"/>
  <c r="G24" i="15" l="1"/>
  <c r="C25" i="6" l="1"/>
  <c r="J23" i="6"/>
  <c r="I23" i="6"/>
  <c r="E23" i="6"/>
  <c r="B23" i="6"/>
  <c r="F23" i="6" s="1"/>
  <c r="J22" i="6"/>
  <c r="I22" i="6"/>
  <c r="E22" i="6"/>
  <c r="B22" i="6"/>
  <c r="F22" i="6" s="1"/>
  <c r="J17" i="6"/>
  <c r="I17" i="6"/>
  <c r="F17" i="6"/>
  <c r="E17" i="6"/>
  <c r="J15" i="6"/>
  <c r="I15" i="6"/>
  <c r="E15" i="6"/>
  <c r="B15" i="6"/>
  <c r="F15" i="6" s="1"/>
  <c r="G15" i="6" s="1"/>
  <c r="H15" i="6" s="1"/>
  <c r="N15" i="6" s="1"/>
  <c r="J9" i="6"/>
  <c r="I9" i="6"/>
  <c r="E9" i="6"/>
  <c r="N9" i="6" s="1"/>
  <c r="B9" i="6"/>
  <c r="B25" i="6" s="1"/>
  <c r="G22" i="6" l="1"/>
  <c r="H22" i="6" s="1"/>
  <c r="N22" i="6" s="1"/>
  <c r="G23" i="6"/>
  <c r="H23" i="6" s="1"/>
  <c r="N23" i="6" s="1"/>
  <c r="L9" i="6"/>
  <c r="K17" i="6"/>
  <c r="N17" i="6"/>
  <c r="G17" i="6"/>
  <c r="L17" i="6"/>
  <c r="K23" i="6"/>
  <c r="K22" i="6"/>
  <c r="L15" i="6"/>
  <c r="K15" i="6"/>
  <c r="L22" i="6"/>
  <c r="K9" i="6"/>
  <c r="F9" i="6"/>
  <c r="G9" i="6" s="1"/>
  <c r="L26" i="6" l="1"/>
  <c r="L25" i="6"/>
  <c r="K26" i="6"/>
  <c r="K25" i="6"/>
  <c r="M49" i="29" l="1"/>
  <c r="Q49" i="29" s="1"/>
  <c r="P49" i="29" l="1"/>
  <c r="N49" i="29"/>
  <c r="O49" i="29"/>
  <c r="R49"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Vishey</author>
  </authors>
  <commentList>
    <comment ref="E3" authorId="0" shapeId="0" xr:uid="{A2CDD1B1-812E-41B1-A2E8-5C9413B0B70B}">
      <text>
        <r>
          <rPr>
            <b/>
            <sz val="9"/>
            <color indexed="81"/>
            <rFont val="Tahoma"/>
            <family val="2"/>
          </rPr>
          <t>Chris Vishey:</t>
        </r>
        <r>
          <rPr>
            <sz val="9"/>
            <color indexed="81"/>
            <rFont val="Tahoma"/>
            <family val="2"/>
          </rPr>
          <t xml:space="preserve">
TBD</t>
        </r>
      </text>
    </comment>
    <comment ref="E4" authorId="0" shapeId="0" xr:uid="{0DC479F7-A6F2-4152-A6C0-64882EA3F5DE}">
      <text>
        <r>
          <rPr>
            <b/>
            <sz val="9"/>
            <color indexed="81"/>
            <rFont val="Tahoma"/>
            <family val="2"/>
          </rPr>
          <t>Chris Vishey:</t>
        </r>
        <r>
          <rPr>
            <sz val="9"/>
            <color indexed="81"/>
            <rFont val="Tahoma"/>
            <family val="2"/>
          </rPr>
          <t xml:space="preserve">
TBD</t>
        </r>
      </text>
    </comment>
    <comment ref="E5" authorId="0" shapeId="0" xr:uid="{E118FE0D-BC56-4C82-B987-F445C824302C}">
      <text>
        <r>
          <rPr>
            <b/>
            <sz val="9"/>
            <color indexed="81"/>
            <rFont val="Tahoma"/>
            <family val="2"/>
          </rPr>
          <t>Chris Vishey:</t>
        </r>
        <r>
          <rPr>
            <sz val="9"/>
            <color indexed="81"/>
            <rFont val="Tahoma"/>
            <family val="2"/>
          </rPr>
          <t xml:space="preserve">
TBD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Melissa Alexander</author>
  </authors>
  <commentList>
    <comment ref="C1" authorId="0" shapeId="0" xr:uid="{00000000-0006-0000-1000-000001000000}">
      <text>
        <r>
          <rPr>
            <b/>
            <sz val="9"/>
            <color indexed="81"/>
            <rFont val="Tahoma"/>
            <family val="2"/>
          </rPr>
          <t>Melissa Alexander:</t>
        </r>
        <r>
          <rPr>
            <sz val="9"/>
            <color indexed="81"/>
            <rFont val="Tahoma"/>
            <family val="2"/>
          </rPr>
          <t xml:space="preserve">
Only used to calculate current efficiency. Can be omitted.</t>
        </r>
      </text>
    </comment>
    <comment ref="A8" authorId="0" shapeId="0" xr:uid="{00000000-0006-0000-1000-000002000000}">
      <text>
        <r>
          <rPr>
            <b/>
            <sz val="9"/>
            <color indexed="81"/>
            <rFont val="Tahoma"/>
            <family val="2"/>
          </rPr>
          <t>Melissa Alexander:</t>
        </r>
        <r>
          <rPr>
            <sz val="9"/>
            <color indexed="81"/>
            <rFont val="Tahoma"/>
            <family val="2"/>
          </rPr>
          <t xml:space="preserve">
need to confirm exam times
</t>
        </r>
      </text>
    </comment>
    <comment ref="L9" authorId="0" shapeId="0" xr:uid="{00000000-0006-0000-1000-000003000000}">
      <text>
        <r>
          <rPr>
            <b/>
            <sz val="9"/>
            <color indexed="81"/>
            <rFont val="Tahoma"/>
            <family val="2"/>
          </rPr>
          <t>Melissa Alexander:</t>
        </r>
        <r>
          <rPr>
            <sz val="9"/>
            <color indexed="81"/>
            <rFont val="Tahoma"/>
            <family val="2"/>
          </rPr>
          <t xml:space="preserve">
ENT Services require 3 procedure rooms in addition to the 2 calculated from procedure volumes</t>
        </r>
      </text>
    </comment>
    <comment ref="A10" authorId="0" shapeId="0" xr:uid="{00000000-0006-0000-1000-000004000000}">
      <text>
        <r>
          <rPr>
            <b/>
            <sz val="9"/>
            <color indexed="81"/>
            <rFont val="Tahoma"/>
            <family val="2"/>
          </rPr>
          <t>Melissa Alexander:</t>
        </r>
        <r>
          <rPr>
            <sz val="9"/>
            <color indexed="81"/>
            <rFont val="Tahoma"/>
            <family val="2"/>
          </rPr>
          <t xml:space="preserve">
need to confirm exam times</t>
        </r>
      </text>
    </comment>
    <comment ref="C23" authorId="0" shapeId="0" xr:uid="{00000000-0006-0000-1000-000005000000}">
      <text>
        <r>
          <rPr>
            <b/>
            <sz val="9"/>
            <color indexed="81"/>
            <rFont val="Tahoma"/>
            <family val="2"/>
          </rPr>
          <t>Melissa Alexander:</t>
        </r>
        <r>
          <rPr>
            <sz val="9"/>
            <color indexed="81"/>
            <rFont val="Tahoma"/>
            <family val="2"/>
          </rPr>
          <t xml:space="preserve">
need to confirm</t>
        </r>
      </text>
    </comment>
    <comment ref="L23" authorId="0" shapeId="0" xr:uid="{00000000-0006-0000-1000-000006000000}">
      <text>
        <r>
          <rPr>
            <b/>
            <sz val="9"/>
            <color indexed="81"/>
            <rFont val="Tahoma"/>
            <family val="2"/>
          </rPr>
          <t>Melissa Alexander:</t>
        </r>
        <r>
          <rPr>
            <sz val="9"/>
            <color indexed="81"/>
            <rFont val="Tahoma"/>
            <family val="2"/>
          </rPr>
          <t xml:space="preserve">
Volumes provided indicate 6 procedure rooms, but currently these volumes are accomodated within ACC LL Imaging.
</t>
        </r>
      </text>
    </comment>
  </commentList>
</comments>
</file>

<file path=xl/sharedStrings.xml><?xml version="1.0" encoding="utf-8"?>
<sst xmlns="http://schemas.openxmlformats.org/spreadsheetml/2006/main" count="2440" uniqueCount="1020">
  <si>
    <t>Vizient Benchmarks</t>
  </si>
  <si>
    <t>MGMA AMC's Benchmarks
Visits / cFTE</t>
  </si>
  <si>
    <t>FPSC Benchmarks Visits / cFTE</t>
  </si>
  <si>
    <t>Service Line</t>
  </si>
  <si>
    <t>FY2019 Visits</t>
  </si>
  <si>
    <t>cFTE</t>
  </si>
  <si>
    <t>Headcount</t>
  </si>
  <si>
    <t>cFTE / Headcount %</t>
  </si>
  <si>
    <t>Visits per cFTE</t>
  </si>
  <si>
    <t>Hours per Exam Room</t>
  </si>
  <si>
    <t>Exam Rooms</t>
  </si>
  <si>
    <t>Total Hours</t>
  </si>
  <si>
    <t>Visits per Staffed Hour per Day per Exam Room</t>
  </si>
  <si>
    <t>Median</t>
  </si>
  <si>
    <t>75th Percential</t>
  </si>
  <si>
    <t>90th Percentile</t>
  </si>
  <si>
    <t>Mean</t>
  </si>
  <si>
    <t>Cardiology</t>
  </si>
  <si>
    <t>CTS&amp;C/CRC</t>
  </si>
  <si>
    <t>-</t>
  </si>
  <si>
    <t>Dental</t>
  </si>
  <si>
    <t>Ear Nose Throat/Oto</t>
  </si>
  <si>
    <t>Employee Health</t>
  </si>
  <si>
    <t>Family Medicine</t>
  </si>
  <si>
    <t>Internal Medicine</t>
  </si>
  <si>
    <t>OB-GYN</t>
  </si>
  <si>
    <t>Orthopaedics</t>
  </si>
  <si>
    <t>Pain Management</t>
  </si>
  <si>
    <t>Peds</t>
  </si>
  <si>
    <t>Rehab Clinic</t>
  </si>
  <si>
    <t>Surgery</t>
  </si>
  <si>
    <t>Transplant</t>
  </si>
  <si>
    <t>Urology</t>
  </si>
  <si>
    <t>Vascular Clinic</t>
  </si>
  <si>
    <t>TOTAL</t>
  </si>
  <si>
    <t>weeks</t>
  </si>
  <si>
    <t>days</t>
  </si>
  <si>
    <t>hours</t>
  </si>
  <si>
    <t>annual hours</t>
  </si>
  <si>
    <t>2018 ACC Master Planning</t>
  </si>
  <si>
    <t>2019 ACC Programming</t>
  </si>
  <si>
    <t>2018 Annualized Visits</t>
  </si>
  <si>
    <t>2030 Target Growth</t>
  </si>
  <si>
    <t>2030 Projected Visits</t>
  </si>
  <si>
    <t>FY2019 Exam Room Supply</t>
  </si>
  <si>
    <t>LOW 
2030 Projection</t>
  </si>
  <si>
    <t>HIGH 
2030 Projection</t>
  </si>
  <si>
    <t>LOW Projection Variance</t>
  </si>
  <si>
    <t>LOW Baseline KPU Need</t>
  </si>
  <si>
    <t>HIGH Projection Variance</t>
  </si>
  <si>
    <t>HIGH Baseline KPU Need</t>
  </si>
  <si>
    <t>A</t>
  </si>
  <si>
    <t>B</t>
  </si>
  <si>
    <t xml:space="preserve">C </t>
  </si>
  <si>
    <t>2030 Projection</t>
  </si>
  <si>
    <t>Modality</t>
  </si>
  <si>
    <t>Capacity Counts</t>
  </si>
  <si>
    <t>FY2019 Encounters</t>
  </si>
  <si>
    <t>FY2019 Annual Throughput</t>
  </si>
  <si>
    <t>2017 System OP</t>
  </si>
  <si>
    <t>2026 B Growth</t>
  </si>
  <si>
    <t>2026 C Growth</t>
  </si>
  <si>
    <t>Constant Market Share CAGR</t>
  </si>
  <si>
    <t xml:space="preserve">Market Share Gain 
CAGR </t>
  </si>
  <si>
    <t>Correlating Service Line CAGR</t>
  </si>
  <si>
    <t>LOW Encounter Projection</t>
  </si>
  <si>
    <t>HIGH Encounter Projection</t>
  </si>
  <si>
    <t>Target Throughput</t>
  </si>
  <si>
    <t xml:space="preserve">LOW Capacity Need </t>
  </si>
  <si>
    <t>HIGH Capacity Need</t>
  </si>
  <si>
    <t>ACC Planning  Opportunities</t>
  </si>
  <si>
    <t>Comments</t>
  </si>
  <si>
    <t>Rad-Fluoro</t>
  </si>
  <si>
    <t>Right size modality counts</t>
  </si>
  <si>
    <t>Ortho</t>
  </si>
  <si>
    <t>CT</t>
  </si>
  <si>
    <t>Increase to accommodate hospital OP encounters</t>
  </si>
  <si>
    <t>Total</t>
  </si>
  <si>
    <t>MRI + MSK</t>
  </si>
  <si>
    <t>Replace MSK+Mobile, add additional unit for a net of 5</t>
  </si>
  <si>
    <t>Bring the mobile inside, update MSK - Neuro, Card, Ortho| 2 standard, 1 MSK, 1 mobile</t>
  </si>
  <si>
    <t>Ultrasound</t>
  </si>
  <si>
    <t>PET-CT</t>
  </si>
  <si>
    <t>Add additional unit for growth, consider upgrade (TB-PET)</t>
  </si>
  <si>
    <t>Mammography</t>
  </si>
  <si>
    <t>Consider system strategy and service allocation</t>
  </si>
  <si>
    <t>Vascular Lab</t>
  </si>
  <si>
    <t xml:space="preserve">Increase capacity, pull hospital OP encounters </t>
  </si>
  <si>
    <t>In DI, needs to be validated - 3 bays with curtains</t>
  </si>
  <si>
    <t>Notes</t>
  </si>
  <si>
    <t>Requires incremental capacity</t>
  </si>
  <si>
    <t>\a Throughput targets based on current ACC-DI operations run M-F 7am-9pm and S-S 8am-5pm</t>
  </si>
  <si>
    <t>\A Growth projection based on strongly correlating specialty clinic visit volume growth, through 2030</t>
  </si>
  <si>
    <t>\B UCDH DI 2018 Master Plan growth trend maintaining current market share and considering future modality utilization trends, through 2026</t>
  </si>
  <si>
    <t>\C UCDH DI 2018 Master Plan growth trend growing current market share and considering future modality utilization trends, through 2026</t>
  </si>
  <si>
    <t>\D Decanting volumes or other strategic 'shifts' have not been incorporated in the forecast.  Primarily driven by population growth, correlating ambulatory growth and utilization trends</t>
  </si>
  <si>
    <t xml:space="preserve">   </t>
  </si>
  <si>
    <t>ELECTROCARDIOGRAPHY (ECG)</t>
  </si>
  <si>
    <t>ECHOCARDIOGRAPHY (Echo)</t>
  </si>
  <si>
    <t>Patient Activity</t>
  </si>
  <si>
    <t>IP</t>
  </si>
  <si>
    <t>OP</t>
  </si>
  <si>
    <t>2016 Encounters</t>
  </si>
  <si>
    <t>2030 Projections (2016 MP)</t>
  </si>
  <si>
    <t>Annual Target Throughput</t>
  </si>
  <si>
    <t>2030 Capacity Need Range</t>
  </si>
  <si>
    <t>Throughput Range Development</t>
  </si>
  <si>
    <t>IP Throughput Target</t>
  </si>
  <si>
    <t>OP Throughput Target</t>
  </si>
  <si>
    <t>Low Throughput Target</t>
  </si>
  <si>
    <t>High Throughput Target</t>
  </si>
  <si>
    <t>Average Time (mins) per Encounter</t>
  </si>
  <si>
    <t>Prime Minutes Available per 8 hr Days</t>
  </si>
  <si>
    <t>Utilization Factor</t>
  </si>
  <si>
    <t>Prime Operating Weeks per Year</t>
  </si>
  <si>
    <t>Prime Operating Days per Week</t>
  </si>
  <si>
    <t>\a Unable to confirm where OP activity was completed (Hospital based vs. ACC; similar challenge with DI, all volume for 'the campus' reported out)</t>
  </si>
  <si>
    <t>FY2019 
'P'rocedure Rooms</t>
  </si>
  <si>
    <t>FY2019 
Proc 
Volumes</t>
  </si>
  <si>
    <t>FY19 Adult Proc Volumes</t>
  </si>
  <si>
    <t>FY19 Peds Proc Volumes</t>
  </si>
  <si>
    <t>Annual Throughput</t>
  </si>
  <si>
    <t>2030 Forecast LOW</t>
  </si>
  <si>
    <t>2030 Forecast HIGH</t>
  </si>
  <si>
    <t>Calculated Procedure Room Need</t>
  </si>
  <si>
    <t>^ Procedures / Capacity = Procedures per Capacity per Year</t>
  </si>
  <si>
    <t>^ Based on existing visit to procedure utilization rates.  E.g. 8,244 Pain visits with 4,082 procedures = 0.5 procedures per exam room visit</t>
  </si>
  <si>
    <t>^ Determined by current throughput levels + operational observations identified in tours Workshop discussions</t>
  </si>
  <si>
    <t>FY2019 Total 
Visits</t>
  </si>
  <si>
    <t>Pediatric Visits</t>
  </si>
  <si>
    <t>% Pediatric Visits</t>
  </si>
  <si>
    <t>Eqivelant Exam Room Need to Support Pediatric 
Sub-Specialty Activity</t>
  </si>
  <si>
    <t>(Information Not provided)</t>
  </si>
  <si>
    <t>CTSC</t>
  </si>
  <si>
    <t xml:space="preserve"> </t>
  </si>
  <si>
    <t>(Excluded)</t>
  </si>
  <si>
    <t>PMR</t>
  </si>
  <si>
    <t>REPORTED FTE STAFFING</t>
  </si>
  <si>
    <t>QUALITATITVELY REPORTED STAFFING</t>
  </si>
  <si>
    <t>MD cFTE</t>
  </si>
  <si>
    <t>DI</t>
  </si>
  <si>
    <t>Lab</t>
  </si>
  <si>
    <t>MA</t>
  </si>
  <si>
    <t>MOSC</t>
  </si>
  <si>
    <t>Other</t>
  </si>
  <si>
    <t>RN</t>
  </si>
  <si>
    <t>SUPV / MGR</t>
  </si>
  <si>
    <t>TOTAL REPORTED FTE's</t>
  </si>
  <si>
    <t>Residents</t>
  </si>
  <si>
    <t>Fellows</t>
  </si>
  <si>
    <t>Academic Shadowing / Training</t>
  </si>
  <si>
    <t>ADDITIONAL CLINIC  
FTE's</t>
  </si>
  <si>
    <t>Reported FTE's per Exam Room</t>
  </si>
  <si>
    <t>Additional FTE's per Exam Room</t>
  </si>
  <si>
    <t>Total Staff per Exam Room</t>
  </si>
  <si>
    <t>Cardiology &amp; Cardiac Rehab</t>
  </si>
  <si>
    <t>CCRC</t>
  </si>
  <si>
    <t>3 academic interns</t>
  </si>
  <si>
    <t>4 residents/students per provider</t>
  </si>
  <si>
    <t>OBGYN</t>
  </si>
  <si>
    <t>covers procedural area</t>
  </si>
  <si>
    <t>one room per resident</t>
  </si>
  <si>
    <t>PM&amp;R</t>
  </si>
  <si>
    <t>SAC Center</t>
  </si>
  <si>
    <t>Vascular</t>
  </si>
  <si>
    <t>ACC Existing 2019</t>
  </si>
  <si>
    <t>ACC Future 2030</t>
  </si>
  <si>
    <t>OPERATING METRICS</t>
  </si>
  <si>
    <t>Weeks per Year</t>
  </si>
  <si>
    <t>Days per Week</t>
  </si>
  <si>
    <t>Operating Days</t>
  </si>
  <si>
    <t>PATIENTS + VISITORS</t>
  </si>
  <si>
    <t>Annual Visits</t>
  </si>
  <si>
    <t>Visits per Operating Day</t>
  </si>
  <si>
    <t>Patient Turn Segments per Day</t>
  </si>
  <si>
    <t>Patients per Time Segment per Day</t>
  </si>
  <si>
    <t>Visitors per Patient</t>
  </si>
  <si>
    <t>TOTAL PATIENTS + VISITORS</t>
  </si>
  <si>
    <t>STAFFING</t>
  </si>
  <si>
    <t>Clinical Staff per Exam Room 
(MD's, Residents, Fellows, Students, RN, MA, MOSC, Clinic Mgmt.)</t>
  </si>
  <si>
    <t>Total Clinical Staff</t>
  </si>
  <si>
    <t>Additional Faculty</t>
  </si>
  <si>
    <t>Support Services Staff (Food, EVS, Facilities)</t>
  </si>
  <si>
    <t>Facilities</t>
  </si>
  <si>
    <t>EVS</t>
  </si>
  <si>
    <t>Food Services</t>
  </si>
  <si>
    <t>Administration</t>
  </si>
  <si>
    <t>TOTAL STAFF</t>
  </si>
  <si>
    <t>TOTAL BUILDING OCCUPANCY per TIME SEGMENT</t>
  </si>
  <si>
    <t>Utilization</t>
  </si>
  <si>
    <t>8am</t>
  </si>
  <si>
    <t>9am</t>
  </si>
  <si>
    <t>10am</t>
  </si>
  <si>
    <t>11am</t>
  </si>
  <si>
    <t>12pm</t>
  </si>
  <si>
    <t>1pm</t>
  </si>
  <si>
    <t>2pm</t>
  </si>
  <si>
    <t>3pm</t>
  </si>
  <si>
    <t>4pm</t>
  </si>
  <si>
    <t>Pt 
In-Room</t>
  </si>
  <si>
    <t>UCDH - ACC PROGRAMMING</t>
  </si>
  <si>
    <t>Module Space Allocation</t>
  </si>
  <si>
    <t>EXAM ROOMS PER MODULE</t>
  </si>
  <si>
    <t>SCENARIO 1</t>
  </si>
  <si>
    <t>SCENARIO 2</t>
  </si>
  <si>
    <t>SCENARIO 3</t>
  </si>
  <si>
    <t xml:space="preserve">Clinical Leadership Officing + 75% MOSC Consolidation </t>
  </si>
  <si>
    <t>Baseline - MOSC 75% Consolidation</t>
  </si>
  <si>
    <t>Office Centric + 50% MOSC Consolidation</t>
  </si>
  <si>
    <t>Position</t>
  </si>
  <si>
    <t>Staffing per Exam Room</t>
  </si>
  <si>
    <t>Space Type</t>
  </si>
  <si>
    <t>NSF Per KPU</t>
  </si>
  <si>
    <t>Staff per Module Size</t>
  </si>
  <si>
    <t xml:space="preserve">Total NSF </t>
  </si>
  <si>
    <t>Workstation</t>
  </si>
  <si>
    <t>Provider</t>
  </si>
  <si>
    <t>Office</t>
  </si>
  <si>
    <t xml:space="preserve">MOSC </t>
  </si>
  <si>
    <t xml:space="preserve">Clinical Leadership  </t>
  </si>
  <si>
    <t>Manager / Supervisor</t>
  </si>
  <si>
    <t>Open Workstation</t>
  </si>
  <si>
    <t>Residents / Fellows</t>
  </si>
  <si>
    <t>Students</t>
  </si>
  <si>
    <t>Placeholder…</t>
  </si>
  <si>
    <t>TOTAL (room count)</t>
  </si>
  <si>
    <t>SPACE STANDARDS</t>
  </si>
  <si>
    <t>NSF</t>
  </si>
  <si>
    <t>Procedure Room Assessment</t>
  </si>
  <si>
    <t>GENERIC</t>
  </si>
  <si>
    <t>2018 MP Exam Rooms</t>
  </si>
  <si>
    <t>2019 Programming Exam Rooms</t>
  </si>
  <si>
    <t>19-18 Exam Room Variance</t>
  </si>
  <si>
    <t>2018 MP Annual Throughput</t>
  </si>
  <si>
    <t>2030 Throughput Max</t>
  </si>
  <si>
    <t>2030 Actual Target Throughput</t>
  </si>
  <si>
    <t>2030 Exam Room Need</t>
  </si>
  <si>
    <t>2030 Exam Room Need Variance</t>
  </si>
  <si>
    <t>FY19 Total Visits</t>
  </si>
  <si>
    <t>FY19 Adult Visits</t>
  </si>
  <si>
    <t>FY19 Peds Visits</t>
  </si>
  <si>
    <t>FY19 % Peds Visits</t>
  </si>
  <si>
    <t>New Patient %</t>
  </si>
  <si>
    <t>FY19 - FY18 Delta</t>
  </si>
  <si>
    <t>FY19 Target Exam Room Times</t>
  </si>
  <si>
    <t>FY19 Exam Room Throughput per Year</t>
  </si>
  <si>
    <t>FY19 Hours per Day</t>
  </si>
  <si>
    <t>Total Available Dept Hours</t>
  </si>
  <si>
    <t>FY19 Exam Room Utilization</t>
  </si>
  <si>
    <t>FY19 Exam Room Throughput per Day</t>
  </si>
  <si>
    <t>FY19 Exct Visits per Room per Day</t>
  </si>
  <si>
    <t>Target Exam Room Throughput per Day</t>
  </si>
  <si>
    <t>Target Visits per Room per Day Exact</t>
  </si>
  <si>
    <t>18-19 Throughput % Variance</t>
  </si>
  <si>
    <t>MD Headcount</t>
  </si>
  <si>
    <t>RN FTE's</t>
  </si>
  <si>
    <t>MA FTE's</t>
  </si>
  <si>
    <t>SUPV / MGR FTE's</t>
  </si>
  <si>
    <t>MOSC FTE's</t>
  </si>
  <si>
    <t>Other FTE's</t>
  </si>
  <si>
    <t>Total Staff FTE's</t>
  </si>
  <si>
    <t>2018 MP Growth Rate</t>
  </si>
  <si>
    <t>MP Target Throughput</t>
  </si>
  <si>
    <t>FY2018 Procedure Volumes</t>
  </si>
  <si>
    <t>FY19 
Total Procedures</t>
  </si>
  <si>
    <t>FY19 
Adult Procedures</t>
  </si>
  <si>
    <t>FY19 
Peds Procedures</t>
  </si>
  <si>
    <t>Target Minutes per Procedure</t>
  </si>
  <si>
    <t>FY19 Procedure Room Utilization</t>
  </si>
  <si>
    <t>2019 Programming Procedure Rooms</t>
  </si>
  <si>
    <t>Current Throughput</t>
  </si>
  <si>
    <t>Procedure Cases Low Growth</t>
  </si>
  <si>
    <t>Procedure Cases High Growth</t>
  </si>
  <si>
    <t>MP Througput Target</t>
  </si>
  <si>
    <t>Procedure Room Need Low</t>
  </si>
  <si>
    <t>Procedure Room Need High</t>
  </si>
  <si>
    <t>DEPT 01</t>
  </si>
  <si>
    <t>DEPT 02</t>
  </si>
  <si>
    <t>DEPT 03</t>
  </si>
  <si>
    <t>DEPT 04</t>
  </si>
  <si>
    <t>DEPT 05</t>
  </si>
  <si>
    <t>DEPT 06</t>
  </si>
  <si>
    <t>DEPT 07</t>
  </si>
  <si>
    <t>DEPT 08</t>
  </si>
  <si>
    <t>DEPT 09</t>
  </si>
  <si>
    <t>DEPT 10</t>
  </si>
  <si>
    <t>DEPT 11</t>
  </si>
  <si>
    <t>DEPT 12</t>
  </si>
  <si>
    <t>DEPT 13</t>
  </si>
  <si>
    <t>DEPT 14</t>
  </si>
  <si>
    <t>DEPT 15</t>
  </si>
  <si>
    <t>DEPT 16</t>
  </si>
  <si>
    <t>NOTES</t>
  </si>
  <si>
    <t>\a 2018 volume represents 9 months of 2018 annualized</t>
  </si>
  <si>
    <t>ID</t>
  </si>
  <si>
    <t>Description</t>
  </si>
  <si>
    <t>Time</t>
  </si>
  <si>
    <t>Time Range</t>
  </si>
  <si>
    <t>Work Screening</t>
  </si>
  <si>
    <t>Workers Comp - New</t>
  </si>
  <si>
    <t>Workers Comp - Follow Up</t>
  </si>
  <si>
    <t>Blood Pathogen</t>
  </si>
  <si>
    <t>Srveillences</t>
  </si>
  <si>
    <t>Documentation Request</t>
  </si>
  <si>
    <t>Support space, no exam capacity required</t>
  </si>
  <si>
    <t>Employee_Med_Activity</t>
  </si>
  <si>
    <t>111780</t>
  </si>
  <si>
    <t>Non_Employee_Med_Activity</t>
  </si>
  <si>
    <t>7422</t>
  </si>
  <si>
    <t>Total_Med_Activity</t>
  </si>
  <si>
    <t>119202</t>
  </si>
  <si>
    <t>Employee_EHS_Visits</t>
  </si>
  <si>
    <t>Non_Employee_ EHS_Visits</t>
  </si>
  <si>
    <t>Total_ EHS_Visits</t>
  </si>
  <si>
    <t>Employee_Visits</t>
  </si>
  <si>
    <t>39685</t>
  </si>
  <si>
    <t>Non_Employee_Visits</t>
  </si>
  <si>
    <t>3386</t>
  </si>
  <si>
    <t>Total_Visits</t>
  </si>
  <si>
    <t>43071</t>
  </si>
  <si>
    <t>Cardiology + Cardiac Rehabilitation</t>
  </si>
  <si>
    <t>Pediatrics</t>
  </si>
  <si>
    <t>5426 - DIETITIAN II</t>
  </si>
  <si>
    <t>5421 - DIETITIAN- PD</t>
  </si>
  <si>
    <t>5424 - DIETITIAN- SR</t>
  </si>
  <si>
    <t>8882 - MED OFC SVC CRD 3 LD</t>
  </si>
  <si>
    <t>9383 - PSYCHOLOGIST II</t>
  </si>
  <si>
    <t>9306 - SOCIAL- WORKER- CLIN- LICENSED</t>
  </si>
  <si>
    <t>ENT</t>
  </si>
  <si>
    <t>9247 - PHARMACIST- STAFF II</t>
  </si>
  <si>
    <t>9282 - PHARMACY TECHNICIAN II</t>
  </si>
  <si>
    <t>9281 - PHARMACY TECHNICIAN III</t>
  </si>
  <si>
    <t>7866 - AUDIOLOGIST SR EX</t>
  </si>
  <si>
    <t>7961 - SPEECH PATHOLOGIST NEX</t>
  </si>
  <si>
    <t>7938 - PHYS THER 3 EX</t>
  </si>
  <si>
    <t>9219 - TECH-STERILE PROCESSING III</t>
  </si>
  <si>
    <t>9472 - PATHOLOGIST- SPEECH- SR</t>
  </si>
  <si>
    <t>Orthopedics</t>
  </si>
  <si>
    <t>Pain</t>
  </si>
  <si>
    <t>Cohort</t>
  </si>
  <si>
    <t>Department Name</t>
  </si>
  <si>
    <t>New Patients to Specialty Attended</t>
  </si>
  <si>
    <t>Total Attended</t>
  </si>
  <si>
    <t>Adult</t>
  </si>
  <si>
    <t>Updated Finance Volume 9/25</t>
  </si>
  <si>
    <t>CARDIOLOGY ADVANCED CARDIAC THERAPIES</t>
  </si>
  <si>
    <t>CARDIOLOGY AMBULATORY MONITORS ACC</t>
  </si>
  <si>
    <t>CARDIOLOGY ARRHYTHMIA ACC</t>
  </si>
  <si>
    <t>CARDIOLOGY CARDIAC REHAB ACC</t>
  </si>
  <si>
    <t>CARDIOLOGY CARDIAC RISK REDUCTION ACC</t>
  </si>
  <si>
    <t>CARDIOLOGY CONGENITAL HEART DISEASE</t>
  </si>
  <si>
    <t>CARDIOLOGY FACULTY ACC</t>
  </si>
  <si>
    <t>CARDIOLOGY GENERAL CARDIO ACC</t>
  </si>
  <si>
    <t>CARDIOLOGY PACEMAKER ACC</t>
  </si>
  <si>
    <t>CARDIOLOGY TREATMENT CTR ACC</t>
  </si>
  <si>
    <t>CARDIOLOGY WOMEN'S CARDIO HEALTH ACC</t>
  </si>
  <si>
    <t>Dentistry</t>
  </si>
  <si>
    <t>DENTAL GLASSROCK</t>
  </si>
  <si>
    <t>ENT-Otolaryngology</t>
  </si>
  <si>
    <t>ENT CLEFT PALATE CLINIC</t>
  </si>
  <si>
    <t>ENT LARYNGOLOGY 6TH FLOOR</t>
  </si>
  <si>
    <t>ENT PHYSICIANS</t>
  </si>
  <si>
    <t>ENT PLASTICS 6TH FLOOR</t>
  </si>
  <si>
    <t>ENT HEARING</t>
  </si>
  <si>
    <t>ENT SPEECH</t>
  </si>
  <si>
    <t>Behavioral Health</t>
  </si>
  <si>
    <t>FAMILY PRACTICE BEHAVIORAL MED ACC</t>
  </si>
  <si>
    <t>FP/OB</t>
  </si>
  <si>
    <t>FAMILY GENERAL PRACTICE ACC</t>
  </si>
  <si>
    <t>FAMILY PRACTICE FACULTY ACC</t>
  </si>
  <si>
    <t>GENERAL MEDICINE, SUITE A</t>
  </si>
  <si>
    <t>GENERAL MEDICINE, SUITE B</t>
  </si>
  <si>
    <t>INT MED FACULTY CLINIC ACC</t>
  </si>
  <si>
    <t>INT MED GERIATRICS ACC</t>
  </si>
  <si>
    <t>TBD</t>
  </si>
  <si>
    <t>Nephrology</t>
  </si>
  <si>
    <t>ACC NEPHROLOGY</t>
  </si>
  <si>
    <t>Allergy</t>
  </si>
  <si>
    <t>ALLERGY ACC</t>
  </si>
  <si>
    <t>Endocrinology</t>
  </si>
  <si>
    <t>DIABETES ACC</t>
  </si>
  <si>
    <t>ENDOCRINOLOGY ACC</t>
  </si>
  <si>
    <t>THYROID ACC</t>
  </si>
  <si>
    <t>Anticoagulation</t>
  </si>
  <si>
    <t>ANTI-COAG CLINIC</t>
  </si>
  <si>
    <t>Infectious Diseases</t>
  </si>
  <si>
    <t>INFECTIOUS DISEASE ACC</t>
  </si>
  <si>
    <t>Rheumatology</t>
  </si>
  <si>
    <t>RHEUMATOLOGY ACC</t>
  </si>
  <si>
    <t>Neurology</t>
  </si>
  <si>
    <t>ALZHEIMERS EAST BAY</t>
  </si>
  <si>
    <t>ALZHEIMER'S CLINIC ACC</t>
  </si>
  <si>
    <t>OB GYN</t>
  </si>
  <si>
    <t>Obstetrics and Gynecology</t>
  </si>
  <si>
    <t>OB/GYN ANCILLARY CLINICS ACC</t>
  </si>
  <si>
    <t>OB/GYN GENERAL FACULTY ACC</t>
  </si>
  <si>
    <t>OB/GYN RESIDENTS CLINIC ACC</t>
  </si>
  <si>
    <t>Urogynecology</t>
  </si>
  <si>
    <t>OB/GYN UROGYNECOLOGY ACC</t>
  </si>
  <si>
    <t>OB/GYN GLASSROCK</t>
  </si>
  <si>
    <t>Perinatology</t>
  </si>
  <si>
    <t>OB/GYN PERINATOLOGY ACC</t>
  </si>
  <si>
    <t>OB/GYN PRENATAL DIAGNOSIS ACC</t>
  </si>
  <si>
    <t>Ophthalmology</t>
  </si>
  <si>
    <t>OPHTHALMOLOGY ACC</t>
  </si>
  <si>
    <t>FOL OPHTHALMOLOGY</t>
  </si>
  <si>
    <t>Orthopaedic Surgery</t>
  </si>
  <si>
    <t>ORTHO CLINIC ACC</t>
  </si>
  <si>
    <t>Anesthesiology</t>
  </si>
  <si>
    <t>PAIN CLINIC ACC</t>
  </si>
  <si>
    <t>PEDS ENDOCRINOLOGYGLASSROCK</t>
  </si>
  <si>
    <t>Multidisciplinary</t>
  </si>
  <si>
    <t>PEDS SPECIALTIES GLASSROCK</t>
  </si>
  <si>
    <t>Pediatric Cardiology</t>
  </si>
  <si>
    <t>PEDS CARDIO ACC</t>
  </si>
  <si>
    <t>PEDS CARDIO GLASSROCK</t>
  </si>
  <si>
    <t>Pediatric Gastroenterology</t>
  </si>
  <si>
    <t>PEDS GASTROENTEROLOGY GLASSROCK</t>
  </si>
  <si>
    <t>Pediatric Infectious Disease</t>
  </si>
  <si>
    <t>PEDS INFECTIOUS DISEASE GLASSROCK</t>
  </si>
  <si>
    <t>Pediatric Nephrology</t>
  </si>
  <si>
    <t>PEDS NEPHROLOGY GLASSROCK</t>
  </si>
  <si>
    <t xml:space="preserve">Pediatric Pulmonary </t>
  </si>
  <si>
    <t>PEDS PULMONARY GLASSROCK</t>
  </si>
  <si>
    <t>Pediatric Rheumatology</t>
  </si>
  <si>
    <t>PEDS RHEUMATOLOGY GLASSROCK</t>
  </si>
  <si>
    <t>PEDS FACULTY PRACTICE GLASSROCK</t>
  </si>
  <si>
    <t>PEDS GENERAL GLASSROCK</t>
  </si>
  <si>
    <t>PEDS URGENT CARE GLASSROCK</t>
  </si>
  <si>
    <t>Pediatric Allergy</t>
  </si>
  <si>
    <t>PEDIATRIC ALLERGY AND IMMUNOLOGY</t>
  </si>
  <si>
    <t>Rehab PM&amp;R Clinic</t>
  </si>
  <si>
    <t>Wound Care</t>
  </si>
  <si>
    <t>PM&amp;R WOUND CLINIC</t>
  </si>
  <si>
    <t>Physical Medicine and Rehab</t>
  </si>
  <si>
    <t>EMG LAB-PMR OUTPATIENT</t>
  </si>
  <si>
    <t>OTR LYMPH</t>
  </si>
  <si>
    <t>PM&amp;R CLINIC ACC</t>
  </si>
  <si>
    <t>General Surgery</t>
  </si>
  <si>
    <t>SURGICAL ADMISSION CTR</t>
  </si>
  <si>
    <t>Bariatric Surgery</t>
  </si>
  <si>
    <t>SURGERY BARIATRICS CYPRESS</t>
  </si>
  <si>
    <t>Colorectal Surgery</t>
  </si>
  <si>
    <t>SURGERY COLORECTAL CYPRESS</t>
  </si>
  <si>
    <t>SURGERY GENERAL CYPRESS</t>
  </si>
  <si>
    <t>Trauma Surgery</t>
  </si>
  <si>
    <t>TRAUMA CLINIC</t>
  </si>
  <si>
    <t>SURGERY LIVER CYPRESS</t>
  </si>
  <si>
    <t>SURGERY PLASTICS CYPRESS</t>
  </si>
  <si>
    <t>Cardiac Surgery</t>
  </si>
  <si>
    <t>SURGERY CARDIAC CYPRESS</t>
  </si>
  <si>
    <t>SURGERY BURNS CYPRESS</t>
  </si>
  <si>
    <t>TRANSPLANT CYPRESS</t>
  </si>
  <si>
    <t>UROLOGY CLINIC ACC</t>
  </si>
  <si>
    <t>Vascular Surgery</t>
  </si>
  <si>
    <t>VASCULAR CENTER CLINIC</t>
  </si>
  <si>
    <t>Health Management and Education</t>
  </si>
  <si>
    <t>HME ACC (ELLISON)</t>
  </si>
  <si>
    <t>HME BUSINESS DRIVE</t>
  </si>
  <si>
    <t>Infusion Clinic</t>
  </si>
  <si>
    <t>GLASSROCK INFUSION</t>
  </si>
  <si>
    <t>GLASSROCK PROCEDURES</t>
  </si>
  <si>
    <t>Nutrition</t>
  </si>
  <si>
    <t>NUTRITION CLINIC ACC</t>
  </si>
  <si>
    <t>Excluded</t>
  </si>
  <si>
    <t>Physical Therapy</t>
  </si>
  <si>
    <t>PHYSICAL THERAPY ACC</t>
  </si>
  <si>
    <t>PM&amp;R HAND THERAPY ACC</t>
  </si>
  <si>
    <t>PM&amp;R LYMPHTHERAPY</t>
  </si>
  <si>
    <t>PM&amp;R OCCUPATIONAL THERAPY ACC</t>
  </si>
  <si>
    <t>PM&amp;R PROSTHETICS/ORTHOTICS ACC</t>
  </si>
  <si>
    <t>PM&amp;R PSV ACC</t>
  </si>
  <si>
    <t>PM&amp;R SPEECH THERAPY ACC</t>
  </si>
  <si>
    <t>Radiology</t>
  </si>
  <si>
    <t>ACC CT</t>
  </si>
  <si>
    <t>ACC DEXA</t>
  </si>
  <si>
    <t>ACC DX</t>
  </si>
  <si>
    <t>ACC MAM</t>
  </si>
  <si>
    <t>ACC MRI</t>
  </si>
  <si>
    <t>ACC PET</t>
  </si>
  <si>
    <t>ACC US</t>
  </si>
  <si>
    <t>ACC VL</t>
  </si>
  <si>
    <t>CST DX</t>
  </si>
  <si>
    <t>LAB GLASSROCK</t>
  </si>
  <si>
    <t>LAB CYPRESS</t>
  </si>
  <si>
    <t>LAB ACC</t>
  </si>
  <si>
    <t>Pediatric Genetics</t>
  </si>
  <si>
    <t>MIND PEDS GENETICS</t>
  </si>
  <si>
    <t>Developmental and Behavioral Pediatrics</t>
  </si>
  <si>
    <t>MIND CHILD DEVELOPMENT ACC</t>
  </si>
  <si>
    <t>MIND RESEARCH CLINIC ACC</t>
  </si>
  <si>
    <t>Psychiatry</t>
  </si>
  <si>
    <t>MIND CHILD PSYCHIATRY ACC</t>
  </si>
  <si>
    <t>2018 MP Procedure Rooms</t>
  </si>
  <si>
    <t>2018 MP Proc Volumes</t>
  </si>
  <si>
    <t>2 EKG Exam Rooms &amp; 1 Treadmill Exam Room (included in exam room count)</t>
  </si>
  <si>
    <t>CTS&amp;C</t>
  </si>
  <si>
    <t>Infusion/exam hybrid rooms, 1 Dexa Room (included in exam room count)</t>
  </si>
  <si>
    <t>Family Practice</t>
  </si>
  <si>
    <t>Neuro</t>
  </si>
  <si>
    <t>5 Cast Rooms, 1 Fluoro/Cast Room (included in procedure room count)</t>
  </si>
  <si>
    <t>Pain Medicine</t>
  </si>
  <si>
    <t>2 EMG (included in procedure room count)</t>
  </si>
  <si>
    <t>1 Fluoroscopy Room/Exam (included in exam room count)</t>
  </si>
  <si>
    <t>2 Cysto Rooms, 1 Urodynamics (included in procedure room count)</t>
  </si>
  <si>
    <t>Exam Room Visits</t>
  </si>
  <si>
    <t>Procedures</t>
  </si>
  <si>
    <t>FY2019 TOTAL</t>
  </si>
  <si>
    <t>Pediatric</t>
  </si>
  <si>
    <t>^Require FY2019 Volumes</t>
  </si>
  <si>
    <t>Service previously reported procedural volumes during 2018 Master Plan</t>
  </si>
  <si>
    <t>Department Location</t>
  </si>
  <si>
    <t>Department Specialty</t>
  </si>
  <si>
    <t>ACC</t>
  </si>
  <si>
    <t>ORTHO ACC</t>
  </si>
  <si>
    <t>RADIOLOGY ACC</t>
  </si>
  <si>
    <t>Grand Total</t>
  </si>
  <si>
    <t>DEPT</t>
  </si>
  <si>
    <t>PROCEDURE VOLUME</t>
  </si>
  <si>
    <t>PROCEDURE ROOM COUNT</t>
  </si>
  <si>
    <t>Minutes per Procedure</t>
  </si>
  <si>
    <t>Max Throughput</t>
  </si>
  <si>
    <t>Actual Throughput</t>
  </si>
  <si>
    <t>Current Efficiency</t>
  </si>
  <si>
    <t>Target Efficiency</t>
  </si>
  <si>
    <t>Target Growth</t>
  </si>
  <si>
    <t>Current Procedure Room Need</t>
  </si>
  <si>
    <t>Future Procedure Room Need</t>
  </si>
  <si>
    <t>Adjusted Growth Rate Low</t>
  </si>
  <si>
    <t>Admin</t>
  </si>
  <si>
    <t>Building</t>
  </si>
  <si>
    <t>Café</t>
  </si>
  <si>
    <t>Centralized Check-in/Waiting</t>
  </si>
  <si>
    <t>Imaging</t>
  </si>
  <si>
    <t>FTE's</t>
  </si>
  <si>
    <t>Sum of FTE's</t>
  </si>
  <si>
    <t>Column Labels</t>
  </si>
  <si>
    <t>TOTAL OTHER</t>
  </si>
  <si>
    <t>Row Labels</t>
  </si>
  <si>
    <t>Cardiac Rehabilitation</t>
  </si>
  <si>
    <t>TOTAL CARD</t>
  </si>
  <si>
    <t>Family</t>
  </si>
  <si>
    <t>PMR Clinic</t>
  </si>
  <si>
    <t>Hours</t>
  </si>
  <si>
    <t>Worked Hours per Visits</t>
  </si>
  <si>
    <t>FY2018 Visits</t>
  </si>
  <si>
    <t>2018 Annualized</t>
  </si>
  <si>
    <t>ACC Department</t>
  </si>
  <si>
    <t>Clinic</t>
  </si>
  <si>
    <t>Job Code</t>
  </si>
  <si>
    <t>Job Code Cohort</t>
  </si>
  <si>
    <t>Sum of May Act $</t>
  </si>
  <si>
    <t>Sum of May Act FTE</t>
  </si>
  <si>
    <t>Hourly</t>
  </si>
  <si>
    <t>384 VASCULAR CLINIC</t>
  </si>
  <si>
    <t>4172 - AMBUL CARE ADMSTN SUPV 1</t>
  </si>
  <si>
    <t>0259 - ASST DIR (FUNCTIONAL AREA)</t>
  </si>
  <si>
    <t>6047 - Clin Informatics Supv 2</t>
  </si>
  <si>
    <t>0280 - MANAGER (FUNCTIONAL AREA)</t>
  </si>
  <si>
    <t>6473 - AMBUL CARE PAT MGR 2</t>
  </si>
  <si>
    <t>0764 - Nurse Administrative 4</t>
  </si>
  <si>
    <t>8916 - NURSE- VOCATIONAL- SR</t>
  </si>
  <si>
    <t>0769 - SENIOR PHYSICIAN</t>
  </si>
  <si>
    <t>8966 - TECHNOLOGIST- ULTRASOUND- SR</t>
  </si>
  <si>
    <t>0771 - Physician Associate</t>
  </si>
  <si>
    <t>8991 - MEDICAL ASSISTANT II- PER DIEM</t>
  </si>
  <si>
    <t>0777 - ASSISTANT DENTIST</t>
  </si>
  <si>
    <t>8994 - ASSISTANT- MEDICAL- II</t>
  </si>
  <si>
    <t>4132 - SPIRITUAL CARE HC SPEC 2</t>
  </si>
  <si>
    <t>9138 - NURSE- CLINICAL III</t>
  </si>
  <si>
    <t>4171 - AMBUL CARE ADMSTN SUPV 2</t>
  </si>
  <si>
    <t>9139 - NURSE- CLINICAL II</t>
  </si>
  <si>
    <t>9147 - NURSE PRACTITIONER II</t>
  </si>
  <si>
    <t>4173 - AMBUL CARE PAT SUPV 1</t>
  </si>
  <si>
    <t>9211 - COORDINATOR-MED OFF SRVC-PD II</t>
  </si>
  <si>
    <t>4175 - AMBUL CARE ADMSTN CRD 3</t>
  </si>
  <si>
    <t>9213 - COORDINATOR- MED OFF SRVC- II</t>
  </si>
  <si>
    <t>4176 - AMBUL CARE ADMSTN CRD 2</t>
  </si>
  <si>
    <t>9214 - COORDINATOR- MED OFF SRVC- III</t>
  </si>
  <si>
    <t>4195 - NTRTN AND DIETARY SUPV 2</t>
  </si>
  <si>
    <t>4198 - PAT NAVGTR NON-CLIN 3</t>
  </si>
  <si>
    <t>391 CARDIAC REHABILITATION</t>
  </si>
  <si>
    <t>4580 - HEALTH INFO MGT SUPV 2</t>
  </si>
  <si>
    <t>392 CARDIAC REHABILITATION</t>
  </si>
  <si>
    <t>4584 - LACTATION CONSULTANT 3</t>
  </si>
  <si>
    <t>393 CARDIAC REHABILITATION</t>
  </si>
  <si>
    <t>8974 - TECHNICIAN- HOSPITAL LAB- III</t>
  </si>
  <si>
    <t>4608 - LVN SUPV 1</t>
  </si>
  <si>
    <t>394 CARDIAC REHABILITATION</t>
  </si>
  <si>
    <t>8993 - ASSISTANT- MEDICAL- I</t>
  </si>
  <si>
    <t>4687 - TRANSCRIBER- HOSP MED- SR</t>
  </si>
  <si>
    <t>395 CARDIAC REHABILITATION</t>
  </si>
  <si>
    <t>9119 - CN II - PER DIEM</t>
  </si>
  <si>
    <t>4712 - RECORDS ANL 3</t>
  </si>
  <si>
    <t>396 CARDIAC REHABILITATION</t>
  </si>
  <si>
    <t>4714 - ABSTRACTOR- PATIENT REC IV- PD</t>
  </si>
  <si>
    <t>397 CARDIAC REHABILITATION</t>
  </si>
  <si>
    <t>4716 - ABSTRACTOR- PATIENT RECORD IV</t>
  </si>
  <si>
    <t>398 CARDIAC REHABILITATION</t>
  </si>
  <si>
    <t>4717 - ABSTRACTOR- PATIENT RECORD III</t>
  </si>
  <si>
    <t>399 CARDIAC REHABILITATION</t>
  </si>
  <si>
    <t>4718 - ABSTRACTOR- PATIENT RECORD II</t>
  </si>
  <si>
    <t>394 ENT PROCEDURES</t>
  </si>
  <si>
    <t>4720 - ABSTRACTOR- PAT REC IV-SUPVR</t>
  </si>
  <si>
    <t>395 ENT PROCEDURES</t>
  </si>
  <si>
    <t>4722 - _____ASSISTANT III</t>
  </si>
  <si>
    <t>396 ENT PROCEDURES</t>
  </si>
  <si>
    <t>6475 - AMBUL CARE PAT SUPV 2</t>
  </si>
  <si>
    <t>4723 - _____ASSISTANT II</t>
  </si>
  <si>
    <t>397 ENT PROCEDURES</t>
  </si>
  <si>
    <t>8930 - TECHNICIAN- SURGICAL- SR</t>
  </si>
  <si>
    <t>5126 - COOK- MC</t>
  </si>
  <si>
    <t>398 ENT PROCEDURES</t>
  </si>
  <si>
    <t>5195 - FAC MGT SPEC 3</t>
  </si>
  <si>
    <t>399 ENT PROCEDURES</t>
  </si>
  <si>
    <t>400 ENT PROCEDURES</t>
  </si>
  <si>
    <t>674 PAIN SERVICE CLINIC</t>
  </si>
  <si>
    <t>675 PAIN SERVICE CLINIC</t>
  </si>
  <si>
    <t>5820 - REHAB SVC SPEC 1</t>
  </si>
  <si>
    <t>676 PAIN SERVICE CLINIC</t>
  </si>
  <si>
    <t>6039 - Clin Applications Profl 4</t>
  </si>
  <si>
    <t>677 PAIN SERVICE CLINIC</t>
  </si>
  <si>
    <t>678 PAIN SERVICE CLINIC</t>
  </si>
  <si>
    <t>6049 - Clin Informatics Spec 4</t>
  </si>
  <si>
    <t>679 PAIN SERVICE CLINIC</t>
  </si>
  <si>
    <t>6257 - RSCH DATA ANL 3</t>
  </si>
  <si>
    <t>680 PAIN SERVICE CLINIC</t>
  </si>
  <si>
    <t>6469 - AMBUL CARE ADMSTN MGR 4</t>
  </si>
  <si>
    <t>681 PAIN SERVICE CLINIC</t>
  </si>
  <si>
    <t>6470 - AMBUL CARE ADMSTN MGR 3</t>
  </si>
  <si>
    <t>682 PAIN SERVICE CLINIC</t>
  </si>
  <si>
    <t>6471 - AMBUL CARE ADMSTN MGR 2</t>
  </si>
  <si>
    <t>683 PAIN SERVICE CLINIC</t>
  </si>
  <si>
    <t>6472 - AMBUL CARE ADMSTN MGR 1</t>
  </si>
  <si>
    <t>684 PAIN SERVICE CLINIC</t>
  </si>
  <si>
    <t>685 PAIN SERVICE CLINIC</t>
  </si>
  <si>
    <t>686 PAIN SERVICE CLINIC</t>
  </si>
  <si>
    <t>6484 - CLIN DOC SPEC 4</t>
  </si>
  <si>
    <t>687 PAIN SERVICE CLINIC</t>
  </si>
  <si>
    <t>6508 - NURSE SVC SUPV 2</t>
  </si>
  <si>
    <t>732 PM&amp;R-EMG LABORATORY</t>
  </si>
  <si>
    <t>6525 - QLTY IMPV HC SPEC 4</t>
  </si>
  <si>
    <t>733 PM&amp;R-EMG LABORATORY</t>
  </si>
  <si>
    <t>6536 - SOCIAL WORK HC SUPV 2</t>
  </si>
  <si>
    <t>734 PM&amp;R-EMG LABORATORY</t>
  </si>
  <si>
    <t>6594 - RADLG SVC SUPV 2</t>
  </si>
  <si>
    <t>735 PM&amp;R-EMG LABORATORY</t>
  </si>
  <si>
    <t>6601 - REHAB SVC SUPV 2</t>
  </si>
  <si>
    <t>736 PM&amp;R-EMG LABORATORY</t>
  </si>
  <si>
    <t>6619 - REVENUE CYCLE HC SUPV 2</t>
  </si>
  <si>
    <t>737 PM&amp;R-EMG LABORATORY</t>
  </si>
  <si>
    <t>6646 - RESP CARE SPEC 4</t>
  </si>
  <si>
    <t>749 DENTAL CLINIC</t>
  </si>
  <si>
    <t>6695 - TRANSLATOR- PER DIEM</t>
  </si>
  <si>
    <t>750 DENTAL CLINIC</t>
  </si>
  <si>
    <t>6843 - RESP CARE SPEC 5</t>
  </si>
  <si>
    <t>751 DENTAL CLINIC</t>
  </si>
  <si>
    <t>9196 - DENTAL ASST- REGISTERED</t>
  </si>
  <si>
    <t>7235 - ANALYST II</t>
  </si>
  <si>
    <t>750 OTOLARYNGOLOGY CLINIC</t>
  </si>
  <si>
    <t>7236 - ANALYST III</t>
  </si>
  <si>
    <t>751 OTOLARYNGOLOGY CLINIC</t>
  </si>
  <si>
    <t>7246 - ANALYST II-SUPERVISOR</t>
  </si>
  <si>
    <t>752 OTOLARYNGOLOGY CLINIC</t>
  </si>
  <si>
    <t>7271 - ANALYST VII</t>
  </si>
  <si>
    <t>753 OTOLARYNGOLOGY CLINIC</t>
  </si>
  <si>
    <t>7272 - ANALYST VII - SUPERVISOR</t>
  </si>
  <si>
    <t>754 OTOLARYNGOLOGY CLINIC</t>
  </si>
  <si>
    <t>7376 - ADMIN OFCR 2</t>
  </si>
  <si>
    <t>755 OTOLARYNGOLOGY CLINIC</t>
  </si>
  <si>
    <t>7392 - OPTOMETRY SUPV 1</t>
  </si>
  <si>
    <t>756 OTOLARYNGOLOGY CLINIC</t>
  </si>
  <si>
    <t>7398 - PROJECT POLICY ANL 3</t>
  </si>
  <si>
    <t>757 OTOLARYNGOLOGY CLINIC</t>
  </si>
  <si>
    <t>7399 - PROJECT POLICY ANL 4</t>
  </si>
  <si>
    <t>758 OTOLARYNGOLOGY CLINIC</t>
  </si>
  <si>
    <t>7596 - HR Generalist 3</t>
  </si>
  <si>
    <t>759 OTOLARYNGOLOGY CLINIC</t>
  </si>
  <si>
    <t>7710 - FINANCIAL ANL 4</t>
  </si>
  <si>
    <t>760 OTOLARYNGOLOGY CLINIC</t>
  </si>
  <si>
    <t>7748 - Employment Representative 3</t>
  </si>
  <si>
    <t>761 OTOLARYNGOLOGY CLINIC</t>
  </si>
  <si>
    <t>752 FAMILY MEDICINE CLINIC</t>
  </si>
  <si>
    <t>7871 - CASE MGR NEX</t>
  </si>
  <si>
    <t>753 FAMILY MEDICINE CLINIC</t>
  </si>
  <si>
    <t>7894 - GENETIC CNSLR 3 EX</t>
  </si>
  <si>
    <t>754 FAMILY MEDICINE CLINIC</t>
  </si>
  <si>
    <t>7898 - GENETIC COUNSELOR 2 NEX</t>
  </si>
  <si>
    <t>755 FAMILY MEDICINE CLINIC</t>
  </si>
  <si>
    <t>7905 - HOSP LAB TCHN 4 SUPV NEX</t>
  </si>
  <si>
    <t>756 FAMILY MEDICINE CLINIC</t>
  </si>
  <si>
    <t>7919 - NURSE ADMIN 2 NEX</t>
  </si>
  <si>
    <t>757 FAMILY MEDICINE CLINIC</t>
  </si>
  <si>
    <t>7932 - PHARMACIST SR EX</t>
  </si>
  <si>
    <t>758 FAMILY MEDICINE CLINIC</t>
  </si>
  <si>
    <t>759 FAMILY MEDICINE CLINIC</t>
  </si>
  <si>
    <t>7958 - SPEECH PATHOLOGIST SR SUPV EX</t>
  </si>
  <si>
    <t>760 FAMILY MEDICINE CLINIC</t>
  </si>
  <si>
    <t>761 FAMILY MEDICINE CLINIC</t>
  </si>
  <si>
    <t>8031 - AUDIOLOGIST- SR-SUPVR</t>
  </si>
  <si>
    <t>762 FAMILY MEDICINE CLINIC</t>
  </si>
  <si>
    <t>8293 - TECHNICIAN- TELEVISION</t>
  </si>
  <si>
    <t>763 FAMILY MEDICINE CLINIC</t>
  </si>
  <si>
    <t>8800 - Clin Informatics Spec 3</t>
  </si>
  <si>
    <t>757 ORTHOPEDICS CLINIC</t>
  </si>
  <si>
    <t>8880 - SPECIALIST- CLINICAL</t>
  </si>
  <si>
    <t>758 ORTHOPEDICS CLINIC</t>
  </si>
  <si>
    <t>759 ORTHOPEDICS CLINIC</t>
  </si>
  <si>
    <t>8885 - SPECIALIST- CLINICAL</t>
  </si>
  <si>
    <t>760 ORTHOPEDICS CLINIC</t>
  </si>
  <si>
    <t>8915 - NURSE- VOCATIONAL- SR-SUPVR</t>
  </si>
  <si>
    <t>761 ORTHOPEDICS CLINIC</t>
  </si>
  <si>
    <t>762 ORTHOPEDICS CLINIC</t>
  </si>
  <si>
    <t>8918 - NURSE- VOCATIONAL- PER DIEM</t>
  </si>
  <si>
    <t>763 ORTHOPEDICS CLINIC</t>
  </si>
  <si>
    <t>8928 - TECHNICIAN- ORTHOPEDIC- SR</t>
  </si>
  <si>
    <t>764 ORTHOPEDICS CLINIC</t>
  </si>
  <si>
    <t>765 ORTHOPEDICS CLINIC</t>
  </si>
  <si>
    <t>766 ORTHOPEDICS CLINIC</t>
  </si>
  <si>
    <t>8968 - TECHNOLOGIST-U/S-SR-PER DIEM</t>
  </si>
  <si>
    <t>767 ORTHOPEDICS CLINIC</t>
  </si>
  <si>
    <t>768 ORTHOPEDICS CLINIC</t>
  </si>
  <si>
    <t>8975 - TECHNICIAN- HOSPITAL LAB- II</t>
  </si>
  <si>
    <t>769 ORTHOPEDICS CLINIC</t>
  </si>
  <si>
    <t>8976 - TECHNICIAN- HOSPITAL LAB- I</t>
  </si>
  <si>
    <t>770 ORTHOPEDICS CLINIC</t>
  </si>
  <si>
    <t>8983 - ORTHOPTIST</t>
  </si>
  <si>
    <t>771 ORTHOPEDICS CLINIC</t>
  </si>
  <si>
    <t>NURS - Nursing Temp</t>
  </si>
  <si>
    <t>8990 - TECHNOLOGIST RADIOLOGIC SR PD</t>
  </si>
  <si>
    <t>758 ELLISON OB/GYN PRACTICE</t>
  </si>
  <si>
    <t>759 ELLISON OB/GYN PRACTICE</t>
  </si>
  <si>
    <t>8992 - ASSISTANT- MEDICAL- PER DIEM</t>
  </si>
  <si>
    <t>760 ELLISON OB/GYN PRACTICE</t>
  </si>
  <si>
    <t>761 ELLISON OB/GYN PRACTICE</t>
  </si>
  <si>
    <t>762 ELLISON OB/GYN PRACTICE</t>
  </si>
  <si>
    <t>8995 - ASSISTANT- MEDICAL- II--SUPVR</t>
  </si>
  <si>
    <t>763 ELLISON OB/GYN PRACTICE</t>
  </si>
  <si>
    <t>9017 - TECHNOLOGIST-RAD-PRIN-SUPVR</t>
  </si>
  <si>
    <t>764 ELLISON OB/GYN PRACTICE</t>
  </si>
  <si>
    <t>9022 - TECHNOLOGIST- RADIOLOGIC- SR</t>
  </si>
  <si>
    <t>765 ELLISON OB/GYN PRACTICE</t>
  </si>
  <si>
    <t>9023 - TECHNOLOGIST-RADIOLOGIC</t>
  </si>
  <si>
    <t>766 ELLISON OB/GYN PRACTICE</t>
  </si>
  <si>
    <t>9025 - TECHNOLOGIST-RADIOLOG-PER DIEM</t>
  </si>
  <si>
    <t>767 ELLISON OB/GYN PRACTICE</t>
  </si>
  <si>
    <t>9048 - THERAPIST- RESPIRATORY- II</t>
  </si>
  <si>
    <t>768 ELLISON OB/GYN PRACTICE</t>
  </si>
  <si>
    <t>9049 - THERAPIST- RESPIRATORY- REG- I</t>
  </si>
  <si>
    <t>769 ELLISON OB/GYN PRACTICE</t>
  </si>
  <si>
    <t>9050 - THERAPIST- RESPIRATORY- I</t>
  </si>
  <si>
    <t>770 ELLISON OB/GYN PRACTICE</t>
  </si>
  <si>
    <t>9051 - THERAPIST-RESPIRA-REG-PER DIEM</t>
  </si>
  <si>
    <t>771 ELLISON OB/GYN PRACTICE</t>
  </si>
  <si>
    <t>9059 - TECHNOLOGIST- EEG- PRIN</t>
  </si>
  <si>
    <t>760 PM&amp;R - CLINIC</t>
  </si>
  <si>
    <t>9060 - TECHNOLOGIST- EEG- SR</t>
  </si>
  <si>
    <t>761 PM&amp;R - CLINIC</t>
  </si>
  <si>
    <t>9061 - TECHNOLOGIST- EEG</t>
  </si>
  <si>
    <t>762 PM&amp;R - CLINIC</t>
  </si>
  <si>
    <t>9090 - TECHNO- POLYSOMNOGRAPHY- PR</t>
  </si>
  <si>
    <t>763 PM&amp;R - CLINIC</t>
  </si>
  <si>
    <t>9091 - TECHNO- POLYSOMNOGRAPHY- SR</t>
  </si>
  <si>
    <t>764 PM&amp;R - CLINIC</t>
  </si>
  <si>
    <t>9103 - THERAPIST- RESPIRATORY IV-SUPV</t>
  </si>
  <si>
    <t>765 PM&amp;R - CLINIC</t>
  </si>
  <si>
    <t>9111 - COORDINATOR- TRANSPLANT II</t>
  </si>
  <si>
    <t>766 PM&amp;R - CLINIC</t>
  </si>
  <si>
    <t>767 PM&amp;R - CLINIC</t>
  </si>
  <si>
    <t>9125 - COORDINATOR- TRANSPLANT III</t>
  </si>
  <si>
    <t>768 PM&amp;R - CLINIC</t>
  </si>
  <si>
    <t>9131 - ADMINISTRATIVE NURSE</t>
  </si>
  <si>
    <t>769 PM&amp;R - CLINIC</t>
  </si>
  <si>
    <t>9137 - NURSE- CLINICAL IV</t>
  </si>
  <si>
    <t>770 PM&amp;R - CLINIC</t>
  </si>
  <si>
    <t>771 PM&amp;R - CLINIC</t>
  </si>
  <si>
    <t>772 PM&amp;R - CLINIC</t>
  </si>
  <si>
    <t>9140 - NURSE- CLINICAL I</t>
  </si>
  <si>
    <t>773 PM&amp;R - CLINIC</t>
  </si>
  <si>
    <t>764 PEDIATRIC AMBULATORY SERVICES</t>
  </si>
  <si>
    <t>9148 - NURSE PRACTITIONER I</t>
  </si>
  <si>
    <t>765 PEDIATRIC AMBULATORY SERVICES</t>
  </si>
  <si>
    <t>9194 - OPTICIAN</t>
  </si>
  <si>
    <t>766 PEDIATRIC AMBULATORY SERVICES</t>
  </si>
  <si>
    <t>767 PEDIATRIC AMBULATORY SERVICES</t>
  </si>
  <si>
    <t>9203 - PHYSICIAN ASST</t>
  </si>
  <si>
    <t>768 PEDIATRIC AMBULATORY SERVICES</t>
  </si>
  <si>
    <t>9209 - PULMONARY TCHN 4</t>
  </si>
  <si>
    <t>769 PEDIATRIC AMBULATORY SERVICES</t>
  </si>
  <si>
    <t>770 PEDIATRIC AMBULATORY SERVICES</t>
  </si>
  <si>
    <t>9212 - COORDINATOR- MED OFF SRVC- I</t>
  </si>
  <si>
    <t>771 PEDIATRIC AMBULATORY SERVICES</t>
  </si>
  <si>
    <t>772 PEDIATRIC AMBULATORY SERVICES</t>
  </si>
  <si>
    <t>773 PEDIATRIC AMBULATORY SERVICES</t>
  </si>
  <si>
    <t>9215 - COORD- MED OFF SRVC-III--SUPVR</t>
  </si>
  <si>
    <t>774 PEDIATRIC AMBULATORY SERVICES</t>
  </si>
  <si>
    <t>9217 - COORD- MED OFF SRVC- IV--SUPVR</t>
  </si>
  <si>
    <t>775 PEDIATRIC AMBULATORY SERVICES</t>
  </si>
  <si>
    <t>9218 - TECH-STERILE PROCESSING II</t>
  </si>
  <si>
    <t>776 PEDIATRIC AMBULATORY SERVICES</t>
  </si>
  <si>
    <t>777 PEDIATRIC AMBULATORY SERVICES</t>
  </si>
  <si>
    <t>9223 - COORD- MED OFF SRVC- V - SUPV</t>
  </si>
  <si>
    <t>778 PEDIATRIC AMBULATORY SERVICES</t>
  </si>
  <si>
    <t>9245 - ASSIST. I- HOSP.- P.D.</t>
  </si>
  <si>
    <t>779 PEDIATRIC AMBULATORY SERVICES</t>
  </si>
  <si>
    <t>780 PEDIATRIC AMBULATORY SERVICES</t>
  </si>
  <si>
    <t>9250 - PHARMACIST II- PER DIEM</t>
  </si>
  <si>
    <t>765 SURGERY CLINIC</t>
  </si>
  <si>
    <t>9252 - ____ASSISTANT- HOSPITAL- II</t>
  </si>
  <si>
    <t>766 SURGERY CLINIC</t>
  </si>
  <si>
    <t>9265 - TECH-STERILE PROCESSING I</t>
  </si>
  <si>
    <t>767 SURGERY CLINIC</t>
  </si>
  <si>
    <t>9278 - PHARMACY TECHNICIAN II- P.D.</t>
  </si>
  <si>
    <t>768 SURGERY CLINIC</t>
  </si>
  <si>
    <t>769 SURGERY CLINIC</t>
  </si>
  <si>
    <t>9281C - Pharmacy Tech III</t>
  </si>
  <si>
    <t>770 SURGERY CLINIC</t>
  </si>
  <si>
    <t>771 SURGERY CLINIC</t>
  </si>
  <si>
    <t>9293 - CERT PHLEBOTOMIST TECH II</t>
  </si>
  <si>
    <t>772 SURGERY CLINIC</t>
  </si>
  <si>
    <t>9295 - CERT PHLEBOTOMIST TECH II- PD</t>
  </si>
  <si>
    <t>773 SURGERY CLINIC</t>
  </si>
  <si>
    <t>774 SURGERY CLINIC</t>
  </si>
  <si>
    <t>9310 - SOCIAL WORKER- CLN-PD-LICENSED</t>
  </si>
  <si>
    <t>775 SURGERY CLINIC</t>
  </si>
  <si>
    <t>776 SURGERY CLINIC</t>
  </si>
  <si>
    <t>9395 - TECHNICIAN III- GI ENDOSCOPY</t>
  </si>
  <si>
    <t>777 SURGERY CLINIC</t>
  </si>
  <si>
    <t>9397 - TECHNICIAN II- GI ENDOSCOPY</t>
  </si>
  <si>
    <t>778 SURGERY CLINIC</t>
  </si>
  <si>
    <t>9469 - SPEECH PATHOLOGIST- SR- P.D.</t>
  </si>
  <si>
    <t>779 SURGERY CLINIC</t>
  </si>
  <si>
    <t>780 SURGERY CLINIC</t>
  </si>
  <si>
    <t>LAPSE - VACANCY FACTOR</t>
  </si>
  <si>
    <t>767 UROLOGY CLINIC</t>
  </si>
  <si>
    <t>MEDL - Other Medical Temp</t>
  </si>
  <si>
    <t>768 UROLOGY CLINIC</t>
  </si>
  <si>
    <t>769 UROLOGY CLINIC</t>
  </si>
  <si>
    <t>T-OTHR - TES Other</t>
  </si>
  <si>
    <t>770 UROLOGY CLINIC</t>
  </si>
  <si>
    <t>771 UROLOGY CLINIC</t>
  </si>
  <si>
    <t>772 UROLOGY CLINIC</t>
  </si>
  <si>
    <t>773 UROLOGY CLINIC</t>
  </si>
  <si>
    <t>774 UROLOGY CLINIC</t>
  </si>
  <si>
    <t>775 UROLOGY CLINIC</t>
  </si>
  <si>
    <t>776 UROLOGY CLINIC</t>
  </si>
  <si>
    <t>777 UROLOGY CLINIC</t>
  </si>
  <si>
    <t>770 GLASSROCK OB/GYN PRACTICE</t>
  </si>
  <si>
    <t>771 GLASSROCK OB/GYN PRACTICE</t>
  </si>
  <si>
    <t>772 GLASSROCK OB/GYN PRACTICE</t>
  </si>
  <si>
    <t>773 GLASSROCK OB/GYN PRACTICE</t>
  </si>
  <si>
    <t>774 GLASSROCK OB/GYN PRACTICE</t>
  </si>
  <si>
    <t>775 GLASSROCK OB/GYN PRACTICE</t>
  </si>
  <si>
    <t>776 GLASSROCK OB/GYN PRACTICE</t>
  </si>
  <si>
    <t>777 GLASSROCK OB/GYN PRACTICE</t>
  </si>
  <si>
    <t>778 GLASSROCK OB/GYN PRACTICE</t>
  </si>
  <si>
    <t>779 CARDIOLOGY OUTPATIENT SERVICES</t>
  </si>
  <si>
    <t>780 CARDIOLOGY OUTPATIENT SERVICES</t>
  </si>
  <si>
    <t>781 CARDIOLOGY OUTPATIENT SERVICES</t>
  </si>
  <si>
    <t>782 CARDIOLOGY OUTPATIENT SERVICES</t>
  </si>
  <si>
    <t>783 CARDIOLOGY OUTPATIENT SERVICES</t>
  </si>
  <si>
    <t>784 CARDIOLOGY OUTPATIENT SERVICES</t>
  </si>
  <si>
    <t>785 CARDIOLOGY OUTPATIENT SERVICES</t>
  </si>
  <si>
    <t>786 CARDIOLOGY OUTPATIENT SERVICES</t>
  </si>
  <si>
    <t>787 CARDIOLOGY OUTPATIENT SERVICES</t>
  </si>
  <si>
    <t>788 CARDIOLOGY OUTPATIENT SERVICES</t>
  </si>
  <si>
    <t>789 CARDIOLOGY OUTPATIENT SERVICES</t>
  </si>
  <si>
    <t>790 CARDIOLOGY OUTPATIENT SERVICES</t>
  </si>
  <si>
    <t>791 CARDIOLOGY OUTPATIENT SERVICES</t>
  </si>
  <si>
    <t>792 CARDIOLOGY OUTPATIENT SERVICES</t>
  </si>
  <si>
    <t>793 CARDIOLOGY OUTPATIENT SERVICES</t>
  </si>
  <si>
    <t>794 CARDIOLOGY OUTPATIENT SERVICES</t>
  </si>
  <si>
    <t>784 ENT-AUDIOLOGY</t>
  </si>
  <si>
    <t>785 ENT-AUDIOLOGY</t>
  </si>
  <si>
    <t>786 ENT-AUDIOLOGY</t>
  </si>
  <si>
    <t>787 ENT-AUDIOLOGY</t>
  </si>
  <si>
    <t>788 ENT-AUDIOLOGY</t>
  </si>
  <si>
    <t>789 ENT-AUDIOLOGY</t>
  </si>
  <si>
    <t>790 ENT-AUDIOLOGY</t>
  </si>
  <si>
    <t>786 INTERNAL MEDICINE CLINICS</t>
  </si>
  <si>
    <t>787 INTERNAL MEDICINE CLINICS</t>
  </si>
  <si>
    <t>788 INTERNAL MEDICINE CLINICS</t>
  </si>
  <si>
    <t>789 INTERNAL MEDICINE CLINICS</t>
  </si>
  <si>
    <t>790 INTERNAL MEDICINE CLINICS</t>
  </si>
  <si>
    <t>791 INTERNAL MEDICINE CLINICS</t>
  </si>
  <si>
    <t>792 INTERNAL MEDICINE CLINICS</t>
  </si>
  <si>
    <t>793 INTERNAL MEDICINE CLINICS</t>
  </si>
  <si>
    <t>794 INTERNAL MEDICINE CLINICS</t>
  </si>
  <si>
    <t>795 INTERNAL MEDICINE CLINICS</t>
  </si>
  <si>
    <t>796 INTERNAL MEDICINE CLINICS</t>
  </si>
  <si>
    <t>797 INTERNAL MEDICINE CLINICS</t>
  </si>
  <si>
    <t>798 INTERNAL MEDICINE CLINICS</t>
  </si>
  <si>
    <t>799 INTERNAL MEDICINE CLINICS</t>
  </si>
  <si>
    <t>800 INTERNAL MEDICINE CLINICS</t>
  </si>
  <si>
    <t>801 INTERNAL MEDICINE CLINICS</t>
  </si>
  <si>
    <t>802 INTERNAL MEDICINE CLINICS</t>
  </si>
  <si>
    <t>803 INTERNAL MEDICINE CLINICS</t>
  </si>
  <si>
    <t>804 INTERNAL MEDICINE CLINICS</t>
  </si>
  <si>
    <t>805 INTERNAL MEDICINE CLINICS</t>
  </si>
  <si>
    <t>806 INTERNAL MEDICINE CLINICS</t>
  </si>
  <si>
    <t>807 INTERNAL MEDICINE CLINICS</t>
  </si>
  <si>
    <t>787 ENT-SPEECH</t>
  </si>
  <si>
    <t>788 ENT-SPEECH</t>
  </si>
  <si>
    <t>789 ENT-SPEECH</t>
  </si>
  <si>
    <t>790 ENT-SPEECH</t>
  </si>
  <si>
    <t>791 ENT-SPEECH</t>
  </si>
  <si>
    <t>792 ENT-SPEECH</t>
  </si>
  <si>
    <t>793 ENT-SPEECH</t>
  </si>
  <si>
    <t>789 PLASTIC SURGERY CLINIC - C ST.</t>
  </si>
  <si>
    <t>790 PLASTIC SURGERY CLINIC - C ST.</t>
  </si>
  <si>
    <t>791 PLASTIC SURGERY CLINIC - C ST.</t>
  </si>
  <si>
    <t>792 PLASTIC SURGERY CLINIC - C ST.</t>
  </si>
  <si>
    <t>793 PLASTIC SURGERY CLINIC - C ST.</t>
  </si>
  <si>
    <t>794 PLASTIC SURGERY CLINIC - C ST.</t>
  </si>
  <si>
    <t>FTEs</t>
  </si>
  <si>
    <t>Rate</t>
  </si>
  <si>
    <t>FY19 May YTD FTE</t>
  </si>
  <si>
    <t>Summary - Academic Clinics</t>
  </si>
  <si>
    <t>Source: EPSi</t>
  </si>
  <si>
    <t>EPSi Div</t>
  </si>
  <si>
    <t>Div Academic Clinics - Lunsford</t>
  </si>
  <si>
    <t>Flag to Exclude</t>
  </si>
  <si>
    <t>(blank)</t>
  </si>
  <si>
    <t xml:space="preserve">NOTE: this is to exclude Budget items only - does not affect Actuals.  </t>
  </si>
  <si>
    <t>Cost Center Full</t>
  </si>
  <si>
    <t>(Multiple Items)</t>
  </si>
  <si>
    <t xml:space="preserve"> May Act FTE</t>
  </si>
  <si>
    <t>Manager</t>
  </si>
  <si>
    <t>Armon Hosseini</t>
  </si>
  <si>
    <t>includes Cardiology and Cardiac Rehabilitation</t>
  </si>
  <si>
    <t>Brandon Harris</t>
  </si>
  <si>
    <t>Elizabeth Miceli</t>
  </si>
  <si>
    <t>James Garber</t>
  </si>
  <si>
    <t>Kay Behan</t>
  </si>
  <si>
    <t>Kimberly Torres</t>
  </si>
  <si>
    <t>Marlene Werner</t>
  </si>
  <si>
    <t>Roxanne Slaugh</t>
  </si>
  <si>
    <t>Shannon Romero</t>
  </si>
  <si>
    <t>Tamara Scott</t>
  </si>
  <si>
    <t>Vivian Reese</t>
  </si>
  <si>
    <t>Orthopaedics/PMR Clinic</t>
  </si>
  <si>
    <t>still need to get:</t>
  </si>
  <si>
    <t>Location</t>
  </si>
  <si>
    <t>Address</t>
  </si>
  <si>
    <t>Hospital Based Clinic / Medical Office</t>
  </si>
  <si>
    <t>Clinical FTE- MD</t>
  </si>
  <si>
    <t>APP FTE</t>
  </si>
  <si>
    <t>MD / DO Headcount</t>
  </si>
  <si>
    <t>APP Headcount</t>
  </si>
  <si>
    <t>Cypress</t>
  </si>
  <si>
    <t>SURGERY CLINIC</t>
  </si>
  <si>
    <t>2221 Stockton Boulevard STE E</t>
  </si>
  <si>
    <t>Hosp Based</t>
  </si>
  <si>
    <t>TRANSPLANT</t>
  </si>
  <si>
    <t>2221 Stockton Blvd. STE C</t>
  </si>
  <si>
    <t>Ellison Ambulatory Care Center</t>
  </si>
  <si>
    <t>PAIN SERVICE CLINIC</t>
  </si>
  <si>
    <t>4860 Y Street STE 2700</t>
  </si>
  <si>
    <t>FAMILY MEDICINE CLINIC</t>
  </si>
  <si>
    <t>4860 Y Street STE 1600</t>
  </si>
  <si>
    <t>ORTHOPEDICS CLINIC</t>
  </si>
  <si>
    <t>4860 Y Street STE 1700</t>
  </si>
  <si>
    <t>ELLISON OB/GYN PRACTICE</t>
  </si>
  <si>
    <t>4860 Y Street STE 2500</t>
  </si>
  <si>
    <t>PM&amp;R CLINIC</t>
  </si>
  <si>
    <t>4860 Y Street</t>
  </si>
  <si>
    <t>UROLOGY CLINIC</t>
  </si>
  <si>
    <t>4860 Y Street STE 2200</t>
  </si>
  <si>
    <t>CARDIOLOGY OUTPATIENT SERVICES</t>
  </si>
  <si>
    <t>4860 Y Street STE 0200</t>
  </si>
  <si>
    <t>VASCULAR CLINIC</t>
  </si>
  <si>
    <t>4860 Y Street STE 2100</t>
  </si>
  <si>
    <t>INTERNAL MEDICINE CLINICS</t>
  </si>
  <si>
    <t>4860 Y Street STE 0101</t>
  </si>
  <si>
    <t>Glassrock</t>
  </si>
  <si>
    <t>OTOLARYNGOLOGY CLINIC</t>
  </si>
  <si>
    <t>2521 Stockton Boulevard Suite 5200</t>
  </si>
  <si>
    <t>PEDIATRIC AMBULATORY SERVICES</t>
  </si>
  <si>
    <t>2521 Stockton Blvd</t>
  </si>
  <si>
    <t>GLASSROCK OB/GYN PRACTICE</t>
  </si>
  <si>
    <t>2521 Stockton Boulevard STE 3200</t>
  </si>
  <si>
    <t>PEDIATRICS SURGERY GLASSROCK</t>
  </si>
  <si>
    <t>2521 Stockton Blvd. Suite 2200</t>
  </si>
  <si>
    <t>Scribe / Other</t>
  </si>
  <si>
    <t>NP / AP</t>
  </si>
  <si>
    <t>Placeholder value</t>
  </si>
  <si>
    <t>Notes: MOSC counts are current state based and do not include future planned changes to relocate 75% MOSC staffing</t>
  </si>
  <si>
    <t>to non-clinical setting</t>
  </si>
  <si>
    <t>Other (Reported)</t>
  </si>
  <si>
    <t>Scribe</t>
  </si>
  <si>
    <t>Reported</t>
  </si>
  <si>
    <t>Qualitative Input</t>
  </si>
  <si>
    <t>6-7</t>
  </si>
  <si>
    <t>4-5</t>
  </si>
  <si>
    <t>0-1</t>
  </si>
  <si>
    <t>2-3</t>
  </si>
  <si>
    <t>3-4</t>
  </si>
  <si>
    <t>23-24</t>
  </si>
  <si>
    <t>15-16</t>
  </si>
  <si>
    <t>5-6</t>
  </si>
  <si>
    <t>HIGH</t>
  </si>
  <si>
    <t>Exam Room Need 
HIGH</t>
  </si>
  <si>
    <t>MODERATE</t>
  </si>
  <si>
    <t>TARGET</t>
  </si>
  <si>
    <t>Visit Projection MODERATE</t>
  </si>
  <si>
    <t>Visit Projection TARGET</t>
  </si>
  <si>
    <t xml:space="preserve">Visit Projection HIGH </t>
  </si>
  <si>
    <t>Exam Room Need 
MODERATE</t>
  </si>
  <si>
    <t>Exam Room Need 
TARGET</t>
  </si>
  <si>
    <t>AVG 
2030 Projection</t>
  </si>
  <si>
    <t>AVG Projection Variance</t>
  </si>
  <si>
    <t>AVG Baseline KPU Need</t>
  </si>
  <si>
    <t>Aggregate 1.0% CAGR</t>
  </si>
  <si>
    <t>Aggregate 3.0% CAGR</t>
  </si>
  <si>
    <t>Aggregate 5.0% CAGR</t>
  </si>
  <si>
    <t>Projection variance based on 2019 ACC Programming projection - 2018 master planning projection</t>
  </si>
  <si>
    <t>Current</t>
  </si>
  <si>
    <t>Current Exam Rooms</t>
  </si>
  <si>
    <t>Right Sized Exam Rooms</t>
  </si>
  <si>
    <t>NP/PA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</si>
</sst>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
    <numFmt numFmtId="168" formatCode="_(&quot;$&quot;* #,##0_);_(&quot;$&quot;* \(#,##0\);_(&quot;$&quot;* &quot;-&quot;??_);_(@_)"/>
    <numFmt numFmtId="169" formatCode="##\ &quot;Exam Rooms per Module&quot;"/>
  </numFmts>
  <fonts count="38" x14ac:knownFonts="1">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b/>
      <sz val="9"/>
      <color indexed="81"/>
      <name val="Tahoma"/>
      <family val="2"/>
    </font>
    <font>
      <sz val="9"/>
      <color indexed="81"/>
      <name val="Tahoma"/>
      <family val="2"/>
    </font>
    <font>
      <i/>
      <sz val="11"/>
      <color theme="1"/>
      <name val="Polaris Book"/>
    </font>
    <font>
      <sz val="11"/>
      <color theme="1"/>
      <name val="Polaris Book"/>
    </font>
    <font>
      <b/>
      <sz val="12"/>
      <color theme="0"/>
      <name val="Polaris Bold"/>
    </font>
    <font>
      <sz val="12"/>
      <color theme="1"/>
      <name val="Polaris Bold"/>
    </font>
    <font>
      <b/>
      <sz val="11"/>
      <color theme="0"/>
      <name val="Polaris Bold"/>
    </font>
    <font>
      <sz val="11"/>
      <color theme="1"/>
      <name val="Polaris Bold"/>
    </font>
    <font>
      <sz val="11"/>
      <color theme="0"/>
      <name val="Polaris Book"/>
    </font>
    <font>
      <sz val="11"/>
      <color theme="0"/>
      <name val="Polaris Bold"/>
    </font>
    <font>
      <sz val="12"/>
      <color theme="0"/>
      <name val="Polaris Bold"/>
    </font>
    <font>
      <i/>
      <sz val="11"/>
      <name val="Polaris Book"/>
    </font>
    <font>
      <sz val="11"/>
      <color rgb="FFFF0000"/>
      <name val="Calibri"/>
      <family val="2"/>
      <scheme val="minor"/>
    </font>
    <font>
      <sz val="12"/>
      <color rgb="FFFF0000"/>
      <name val="Polaris Bold"/>
    </font>
    <font>
      <sz val="11"/>
      <color rgb="FFFF0000"/>
      <name val="Polaris Book"/>
    </font>
    <font>
      <sz val="9"/>
      <color rgb="FF333333"/>
      <name val="Arial"/>
      <family val="2"/>
    </font>
    <font>
      <sz val="9"/>
      <color rgb="FF666666"/>
      <name val="Arial"/>
      <family val="2"/>
    </font>
    <font>
      <sz val="9"/>
      <color theme="1"/>
      <name val="Polaris Book"/>
    </font>
    <font>
      <sz val="9"/>
      <color theme="1"/>
      <name val="Polaris Bold"/>
    </font>
    <font>
      <i/>
      <sz val="9"/>
      <color theme="1"/>
      <name val="Polaris Bold"/>
    </font>
    <font>
      <b/>
      <i/>
      <sz val="9"/>
      <color theme="1"/>
      <name val="Polaris Bold"/>
    </font>
    <font>
      <sz val="10"/>
      <color theme="0"/>
      <name val="Polaris Bold"/>
    </font>
    <font>
      <i/>
      <sz val="11"/>
      <color theme="1"/>
      <name val="Polaris Bold"/>
    </font>
    <font>
      <sz val="10"/>
      <color theme="1"/>
      <name val="Polaris Book"/>
    </font>
    <font>
      <b/>
      <sz val="11"/>
      <color theme="1"/>
      <name val="Polaris Book"/>
    </font>
    <font>
      <b/>
      <sz val="11"/>
      <color theme="1"/>
      <name val="Polaris Bold"/>
    </font>
    <font>
      <b/>
      <sz val="11"/>
      <color theme="0"/>
      <name val="Polaris Book"/>
    </font>
    <font>
      <i/>
      <sz val="10"/>
      <color theme="1"/>
      <name val="Polaris Book"/>
    </font>
    <font>
      <b/>
      <u/>
      <sz val="11"/>
      <color theme="1"/>
      <name val="Calibri"/>
      <family val="2"/>
      <scheme val="minor"/>
    </font>
    <font>
      <sz val="14"/>
      <color theme="1"/>
      <name val="Polaris Bold"/>
    </font>
    <font>
      <i/>
      <sz val="9"/>
      <color theme="1"/>
      <name val="Polaris Book"/>
    </font>
    <font>
      <sz val="12"/>
      <color theme="3"/>
      <name val="Polaris Bold"/>
    </font>
    <font>
      <sz val="8"/>
      <color theme="1"/>
      <name val="Polaris Book"/>
    </font>
    <font>
      <b/>
      <sz val="14"/>
      <color theme="1"/>
      <name val="Polaris Bold"/>
    </font>
  </fonts>
  <fills count="27">
    <fill>
      <patternFill patternType="none"/>
    </fill>
    <fill>
      <patternFill patternType="gray125"/>
    </fill>
    <fill>
      <patternFill patternType="solid">
        <fgColor rgb="FF99DAEA"/>
        <bgColor indexed="64"/>
      </patternFill>
    </fill>
    <fill>
      <patternFill patternType="solid">
        <fgColor rgb="FF00C1DE"/>
        <bgColor indexed="64"/>
      </patternFill>
    </fill>
    <fill>
      <patternFill patternType="solid">
        <fgColor rgb="FFBAB2F0"/>
        <bgColor indexed="64"/>
      </patternFill>
    </fill>
    <fill>
      <patternFill patternType="solid">
        <fgColor rgb="FF793DBE"/>
        <bgColor indexed="64"/>
      </patternFill>
    </fill>
    <fill>
      <patternFill patternType="solid">
        <fgColor rgb="FFF05423"/>
        <bgColor indexed="64"/>
      </patternFill>
    </fill>
    <fill>
      <patternFill patternType="solid">
        <fgColor rgb="FFFFCE00"/>
        <bgColor indexed="64"/>
      </patternFill>
    </fill>
    <fill>
      <patternFill patternType="solid">
        <fgColor rgb="FF62DC4A"/>
        <bgColor indexed="64"/>
      </patternFill>
    </fill>
    <fill>
      <patternFill patternType="solid">
        <fgColor rgb="FF218649"/>
        <bgColor indexed="64"/>
      </patternFill>
    </fill>
    <fill>
      <patternFill patternType="solid">
        <fgColor rgb="FF555759"/>
        <bgColor indexed="64"/>
      </patternFill>
    </fill>
    <fill>
      <patternFill patternType="solid">
        <fgColor rgb="FFC6EFCE"/>
      </patternFill>
    </fill>
    <fill>
      <patternFill patternType="solid">
        <fgColor rgb="FFFF0000"/>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9" tint="0.79998168889431442"/>
        <bgColor indexed="64"/>
      </patternFill>
    </fill>
    <fill>
      <patternFill patternType="solid">
        <fgColor theme="3"/>
        <bgColor indexed="64"/>
      </patternFill>
    </fill>
    <fill>
      <patternFill patternType="solid">
        <fgColor theme="8" tint="0.79998168889431442"/>
        <bgColor indexed="64"/>
      </patternFill>
    </fill>
  </fills>
  <borders count="14">
    <border>
      <left/>
      <right/>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indexed="64"/>
      </left>
      <right/>
      <top/>
      <bottom/>
      <diagonal/>
    </border>
    <border>
      <left/>
      <right/>
      <top/>
      <bottom style="thin">
        <color auto="1"/>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right/>
      <top style="thin">
        <color theme="0"/>
      </top>
      <bottom style="thin">
        <color theme="0"/>
      </bottom>
      <diagonal/>
    </border>
    <border>
      <left/>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11" borderId="0" applyNumberFormat="0" applyBorder="0" applyAlignment="0" applyProtection="0"/>
    <xf numFmtId="44" fontId="1" fillId="0" borderId="0" applyFont="0" applyFill="0" applyBorder="0" applyAlignment="0" applyProtection="0"/>
  </cellStyleXfs>
  <cellXfs count="272">
    <xf numFmtId="0" fontId="0" fillId="0" borderId="0" xfId="0"/>
    <xf numFmtId="164" fontId="0" fillId="0" borderId="0" xfId="1" applyNumberFormat="1" applyFont="1"/>
    <xf numFmtId="165" fontId="0" fillId="0" borderId="0" xfId="1" applyNumberFormat="1" applyFont="1"/>
    <xf numFmtId="9" fontId="0" fillId="0" borderId="0" xfId="2" applyFont="1"/>
    <xf numFmtId="166" fontId="0" fillId="0" borderId="0" xfId="2" applyNumberFormat="1" applyFont="1"/>
    <xf numFmtId="0" fontId="3" fillId="0" borderId="0" xfId="0" applyFont="1"/>
    <xf numFmtId="168" fontId="0" fillId="0" borderId="0" xfId="4" applyNumberFormat="1" applyFont="1"/>
    <xf numFmtId="17" fontId="0" fillId="0" borderId="0" xfId="0" applyNumberFormat="1"/>
    <xf numFmtId="0" fontId="0" fillId="0" borderId="0" xfId="0" applyAlignment="1">
      <alignment horizontal="center" wrapText="1"/>
    </xf>
    <xf numFmtId="167" fontId="0" fillId="0" borderId="0" xfId="0" applyNumberFormat="1"/>
    <xf numFmtId="167" fontId="0" fillId="0" borderId="0" xfId="2" applyNumberFormat="1" applyFont="1"/>
    <xf numFmtId="164" fontId="0" fillId="0" borderId="0" xfId="0" applyNumberFormat="1"/>
    <xf numFmtId="164" fontId="0" fillId="0" borderId="0" xfId="1" applyNumberFormat="1" applyFont="1" applyAlignment="1">
      <alignment horizontal="left"/>
    </xf>
    <xf numFmtId="167" fontId="0" fillId="0" borderId="0" xfId="1" applyNumberFormat="1" applyFont="1" applyAlignment="1">
      <alignment horizontal="right"/>
    </xf>
    <xf numFmtId="164" fontId="3" fillId="0" borderId="0" xfId="1" applyNumberFormat="1" applyFont="1"/>
    <xf numFmtId="0" fontId="0" fillId="0" borderId="0" xfId="0" applyAlignment="1">
      <alignment horizontal="left"/>
    </xf>
    <xf numFmtId="9" fontId="0" fillId="0" borderId="0" xfId="0" applyNumberFormat="1"/>
    <xf numFmtId="0" fontId="6" fillId="0" borderId="0" xfId="0" applyFont="1"/>
    <xf numFmtId="0" fontId="7" fillId="0" borderId="0" xfId="0" applyFont="1"/>
    <xf numFmtId="164" fontId="7" fillId="0" borderId="0" xfId="1" applyNumberFormat="1" applyFont="1"/>
    <xf numFmtId="0" fontId="8" fillId="3" borderId="3" xfId="0" applyFont="1" applyFill="1" applyBorder="1" applyAlignment="1">
      <alignment horizontal="center" vertical="center" wrapText="1"/>
    </xf>
    <xf numFmtId="164" fontId="8" fillId="3" borderId="1" xfId="1"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0" borderId="0" xfId="0" applyFont="1" applyAlignment="1">
      <alignment wrapText="1"/>
    </xf>
    <xf numFmtId="166" fontId="7" fillId="0" borderId="0" xfId="2" applyNumberFormat="1" applyFont="1"/>
    <xf numFmtId="164" fontId="7" fillId="0" borderId="0" xfId="0" applyNumberFormat="1" applyFont="1"/>
    <xf numFmtId="0" fontId="11" fillId="0" borderId="0" xfId="0" applyFont="1"/>
    <xf numFmtId="0" fontId="13" fillId="10" borderId="10" xfId="0" applyFont="1" applyFill="1" applyBorder="1"/>
    <xf numFmtId="164" fontId="10" fillId="10" borderId="3" xfId="1" applyNumberFormat="1" applyFont="1" applyFill="1" applyBorder="1"/>
    <xf numFmtId="164" fontId="10" fillId="10" borderId="1" xfId="1" applyNumberFormat="1" applyFont="1" applyFill="1" applyBorder="1"/>
    <xf numFmtId="166" fontId="10" fillId="10" borderId="1" xfId="2" applyNumberFormat="1" applyFont="1" applyFill="1" applyBorder="1"/>
    <xf numFmtId="164" fontId="10" fillId="10" borderId="2" xfId="1" applyNumberFormat="1" applyFont="1" applyFill="1" applyBorder="1"/>
    <xf numFmtId="165" fontId="7" fillId="0" borderId="0" xfId="1" applyNumberFormat="1" applyFont="1"/>
    <xf numFmtId="9" fontId="7" fillId="0" borderId="0" xfId="2" applyNumberFormat="1" applyFont="1"/>
    <xf numFmtId="0" fontId="0" fillId="0" borderId="5" xfId="0" applyBorder="1" applyAlignment="1">
      <alignment horizontal="center"/>
    </xf>
    <xf numFmtId="43" fontId="0" fillId="0" borderId="5" xfId="1" applyFont="1" applyBorder="1" applyAlignment="1">
      <alignment horizontal="center"/>
    </xf>
    <xf numFmtId="43" fontId="0" fillId="0" borderId="0" xfId="1" applyFont="1"/>
    <xf numFmtId="9" fontId="7" fillId="0" borderId="0" xfId="2" applyFont="1"/>
    <xf numFmtId="9" fontId="10" fillId="10" borderId="1" xfId="2" applyFont="1" applyFill="1" applyBorder="1"/>
    <xf numFmtId="165" fontId="10" fillId="10" borderId="1" xfId="1" applyNumberFormat="1" applyFont="1" applyFill="1" applyBorder="1"/>
    <xf numFmtId="0" fontId="6" fillId="14" borderId="0" xfId="0" applyFont="1" applyFill="1"/>
    <xf numFmtId="0" fontId="9" fillId="14" borderId="0" xfId="0" applyFont="1" applyFill="1" applyAlignment="1">
      <alignment wrapText="1"/>
    </xf>
    <xf numFmtId="0" fontId="7" fillId="14" borderId="0" xfId="0" applyFont="1" applyFill="1"/>
    <xf numFmtId="0" fontId="11" fillId="14" borderId="0" xfId="0" applyFont="1" applyFill="1"/>
    <xf numFmtId="164" fontId="7" fillId="14" borderId="0" xfId="1" applyNumberFormat="1" applyFont="1" applyFill="1"/>
    <xf numFmtId="0" fontId="7" fillId="16" borderId="0" xfId="0" applyFont="1" applyFill="1"/>
    <xf numFmtId="164" fontId="7" fillId="16" borderId="0" xfId="1" applyNumberFormat="1" applyFont="1" applyFill="1"/>
    <xf numFmtId="166" fontId="7" fillId="16" borderId="0" xfId="2" applyNumberFormat="1" applyFont="1" applyFill="1"/>
    <xf numFmtId="0" fontId="8" fillId="5" borderId="3" xfId="0" applyFont="1" applyFill="1" applyBorder="1" applyAlignment="1">
      <alignment horizontal="center" vertical="center" wrapText="1"/>
    </xf>
    <xf numFmtId="0" fontId="14" fillId="5" borderId="3" xfId="0" applyFont="1" applyFill="1" applyBorder="1" applyAlignment="1">
      <alignment horizontal="center" vertical="center" wrapText="1"/>
    </xf>
    <xf numFmtId="164" fontId="8" fillId="10" borderId="1" xfId="1" applyNumberFormat="1" applyFont="1" applyFill="1" applyBorder="1" applyAlignment="1">
      <alignment horizontal="center" vertical="center" wrapText="1"/>
    </xf>
    <xf numFmtId="165" fontId="14" fillId="5" borderId="3" xfId="1" applyNumberFormat="1" applyFont="1" applyFill="1" applyBorder="1" applyAlignment="1">
      <alignment horizontal="center" vertical="center" wrapText="1"/>
    </xf>
    <xf numFmtId="0" fontId="0" fillId="18" borderId="0" xfId="0" applyFill="1"/>
    <xf numFmtId="164" fontId="14" fillId="5" borderId="3" xfId="1" applyNumberFormat="1" applyFont="1" applyFill="1" applyBorder="1" applyAlignment="1">
      <alignment horizontal="center" vertical="center" wrapText="1"/>
    </xf>
    <xf numFmtId="164" fontId="8" fillId="5" borderId="1" xfId="1" applyNumberFormat="1" applyFont="1" applyFill="1" applyBorder="1" applyAlignment="1">
      <alignment horizontal="center" vertical="center" wrapText="1"/>
    </xf>
    <xf numFmtId="164" fontId="14" fillId="3" borderId="3" xfId="1" applyNumberFormat="1" applyFont="1" applyFill="1" applyBorder="1" applyAlignment="1">
      <alignment horizontal="center" vertical="center" wrapText="1"/>
    </xf>
    <xf numFmtId="9" fontId="7" fillId="16" borderId="0" xfId="2" applyNumberFormat="1" applyFont="1" applyFill="1"/>
    <xf numFmtId="9" fontId="7" fillId="14" borderId="0" xfId="0" applyNumberFormat="1" applyFont="1" applyFill="1"/>
    <xf numFmtId="9" fontId="10" fillId="10" borderId="1" xfId="2" applyNumberFormat="1" applyFont="1" applyFill="1" applyBorder="1"/>
    <xf numFmtId="164" fontId="6" fillId="14" borderId="0" xfId="1" applyNumberFormat="1" applyFont="1" applyFill="1"/>
    <xf numFmtId="0" fontId="0" fillId="0" borderId="0" xfId="0" pivotButton="1"/>
    <xf numFmtId="0" fontId="0" fillId="0" borderId="0" xfId="0" applyNumberFormat="1"/>
    <xf numFmtId="44" fontId="0" fillId="0" borderId="0" xfId="4" applyFont="1"/>
    <xf numFmtId="168" fontId="3" fillId="0" borderId="0" xfId="4" applyNumberFormat="1" applyFont="1"/>
    <xf numFmtId="44" fontId="3" fillId="0" borderId="0" xfId="4" applyFont="1"/>
    <xf numFmtId="0" fontId="16" fillId="0" borderId="0" xfId="0" applyFont="1"/>
    <xf numFmtId="164" fontId="16" fillId="0" borderId="0" xfId="1" applyNumberFormat="1" applyFont="1"/>
    <xf numFmtId="0" fontId="2" fillId="11" borderId="0" xfId="3"/>
    <xf numFmtId="164" fontId="2" fillId="11" borderId="0" xfId="3" applyNumberFormat="1"/>
    <xf numFmtId="43" fontId="7" fillId="0" borderId="0" xfId="1" applyFont="1"/>
    <xf numFmtId="43" fontId="10" fillId="10" borderId="1" xfId="1" applyFont="1" applyFill="1" applyBorder="1"/>
    <xf numFmtId="43" fontId="7" fillId="14" borderId="0" xfId="1" applyFont="1" applyFill="1"/>
    <xf numFmtId="43" fontId="7" fillId="16" borderId="0" xfId="1" applyFont="1" applyFill="1"/>
    <xf numFmtId="165" fontId="7" fillId="14" borderId="0" xfId="1" applyNumberFormat="1" applyFont="1" applyFill="1"/>
    <xf numFmtId="165" fontId="7" fillId="16" borderId="0" xfId="1" applyNumberFormat="1" applyFont="1" applyFill="1"/>
    <xf numFmtId="164" fontId="17" fillId="5" borderId="3" xfId="1" applyNumberFormat="1" applyFont="1" applyFill="1" applyBorder="1" applyAlignment="1">
      <alignment horizontal="center" vertical="center" wrapText="1"/>
    </xf>
    <xf numFmtId="0" fontId="13" fillId="9" borderId="8" xfId="0" applyFont="1" applyFill="1" applyBorder="1" applyAlignment="1">
      <alignment horizontal="center" vertical="center"/>
    </xf>
    <xf numFmtId="0" fontId="7" fillId="14" borderId="0" xfId="0" applyFont="1" applyFill="1" applyAlignment="1">
      <alignment horizontal="center" vertical="center" wrapText="1"/>
    </xf>
    <xf numFmtId="164" fontId="7" fillId="14" borderId="0" xfId="1" applyNumberFormat="1" applyFont="1" applyFill="1" applyAlignment="1">
      <alignment horizontal="center" vertical="center" wrapText="1"/>
    </xf>
    <xf numFmtId="165" fontId="7" fillId="14" borderId="0" xfId="1" applyNumberFormat="1" applyFont="1" applyFill="1" applyAlignment="1">
      <alignment horizontal="center" vertical="center" wrapText="1"/>
    </xf>
    <xf numFmtId="0" fontId="6" fillId="8" borderId="12" xfId="0" applyFont="1" applyFill="1" applyBorder="1" applyAlignment="1">
      <alignment horizontal="center" vertical="center" wrapText="1"/>
    </xf>
    <xf numFmtId="0" fontId="7" fillId="0" borderId="0" xfId="0" applyFont="1" applyAlignment="1">
      <alignment horizontal="center" vertical="center" wrapText="1"/>
    </xf>
    <xf numFmtId="43" fontId="7" fillId="0" borderId="0" xfId="1" applyNumberFormat="1" applyFont="1"/>
    <xf numFmtId="43" fontId="7" fillId="16" borderId="0" xfId="1" applyNumberFormat="1" applyFont="1" applyFill="1"/>
    <xf numFmtId="43" fontId="7" fillId="14" borderId="0" xfId="1" applyNumberFormat="1" applyFont="1" applyFill="1"/>
    <xf numFmtId="43" fontId="10" fillId="10" borderId="1" xfId="1" applyNumberFormat="1" applyFont="1" applyFill="1" applyBorder="1"/>
    <xf numFmtId="165" fontId="11" fillId="0" borderId="0" xfId="1" applyNumberFormat="1" applyFont="1"/>
    <xf numFmtId="165" fontId="10" fillId="10" borderId="2" xfId="1" applyNumberFormat="1" applyFont="1" applyFill="1" applyBorder="1"/>
    <xf numFmtId="0" fontId="11" fillId="0" borderId="0" xfId="0" applyFont="1" applyAlignment="1">
      <alignment horizontal="center" vertical="center" wrapText="1"/>
    </xf>
    <xf numFmtId="164" fontId="11" fillId="0" borderId="0" xfId="1" applyNumberFormat="1" applyFont="1" applyAlignment="1">
      <alignment horizontal="center" vertical="center" wrapText="1"/>
    </xf>
    <xf numFmtId="0" fontId="12" fillId="19" borderId="13" xfId="0" applyFont="1" applyFill="1" applyBorder="1"/>
    <xf numFmtId="164" fontId="12" fillId="19" borderId="13" xfId="1" applyNumberFormat="1" applyFont="1" applyFill="1" applyBorder="1"/>
    <xf numFmtId="0" fontId="18" fillId="0" borderId="0" xfId="0" applyFont="1"/>
    <xf numFmtId="164" fontId="18" fillId="0" borderId="0" xfId="1" applyNumberFormat="1" applyFont="1"/>
    <xf numFmtId="43" fontId="15" fillId="7" borderId="9" xfId="1" applyFont="1" applyFill="1" applyBorder="1" applyAlignment="1">
      <alignment horizontal="center" vertical="center" wrapText="1"/>
    </xf>
    <xf numFmtId="43" fontId="13" fillId="6" borderId="8" xfId="1" applyFont="1" applyFill="1" applyBorder="1" applyAlignment="1">
      <alignment horizontal="center" vertical="center" wrapText="1"/>
    </xf>
    <xf numFmtId="9" fontId="7" fillId="0" borderId="0" xfId="0" applyNumberFormat="1" applyFont="1"/>
    <xf numFmtId="166" fontId="14" fillId="5" borderId="3" xfId="2" quotePrefix="1" applyNumberFormat="1" applyFont="1" applyFill="1" applyBorder="1" applyAlignment="1">
      <alignment horizontal="center" vertical="center" wrapText="1"/>
    </xf>
    <xf numFmtId="166" fontId="10" fillId="10" borderId="2" xfId="2" applyNumberFormat="1" applyFont="1" applyFill="1" applyBorder="1"/>
    <xf numFmtId="0" fontId="7" fillId="0" borderId="0" xfId="0" applyFont="1" applyAlignment="1">
      <alignment horizontal="right"/>
    </xf>
    <xf numFmtId="0" fontId="0" fillId="15" borderId="0" xfId="0" applyFill="1" applyAlignment="1">
      <alignment horizontal="center" vertical="center" wrapText="1"/>
    </xf>
    <xf numFmtId="0" fontId="3" fillId="15" borderId="0" xfId="0" applyFont="1" applyFill="1" applyAlignment="1">
      <alignment horizontal="center" vertical="center" wrapText="1"/>
    </xf>
    <xf numFmtId="17" fontId="0" fillId="15" borderId="0" xfId="0" applyNumberFormat="1" applyFill="1" applyAlignment="1">
      <alignment horizontal="center" vertical="center" wrapText="1"/>
    </xf>
    <xf numFmtId="0" fontId="0" fillId="0" borderId="0" xfId="0" applyAlignment="1">
      <alignment horizontal="center" vertical="center" wrapText="1"/>
    </xf>
    <xf numFmtId="0" fontId="9" fillId="0" borderId="0" xfId="0" applyFont="1" applyAlignment="1"/>
    <xf numFmtId="0" fontId="13" fillId="9" borderId="8" xfId="0" applyFont="1" applyFill="1" applyBorder="1" applyAlignment="1">
      <alignment horizontal="center" vertical="center" wrapText="1"/>
    </xf>
    <xf numFmtId="164" fontId="13" fillId="9" borderId="8" xfId="1" applyNumberFormat="1" applyFont="1" applyFill="1" applyBorder="1" applyAlignment="1">
      <alignment horizontal="center" vertical="center" wrapText="1"/>
    </xf>
    <xf numFmtId="0" fontId="19" fillId="0" borderId="0" xfId="0" quotePrefix="1" applyFont="1" applyAlignment="1">
      <alignment horizontal="left"/>
    </xf>
    <xf numFmtId="0" fontId="20" fillId="0" borderId="0" xfId="0" quotePrefix="1" applyFont="1" applyAlignment="1">
      <alignment horizontal="center"/>
    </xf>
    <xf numFmtId="3" fontId="19" fillId="0" borderId="0" xfId="0" applyNumberFormat="1" applyFont="1" applyAlignment="1">
      <alignment vertical="center"/>
    </xf>
    <xf numFmtId="164" fontId="14" fillId="12" borderId="3" xfId="1" applyNumberFormat="1" applyFont="1" applyFill="1" applyBorder="1" applyAlignment="1">
      <alignment horizontal="center" vertical="center" wrapText="1"/>
    </xf>
    <xf numFmtId="0" fontId="23" fillId="4" borderId="7" xfId="0" applyFont="1" applyFill="1" applyBorder="1" applyAlignment="1">
      <alignment horizontal="center"/>
    </xf>
    <xf numFmtId="164" fontId="13" fillId="9" borderId="0" xfId="1" applyNumberFormat="1" applyFont="1" applyFill="1" applyBorder="1" applyAlignment="1">
      <alignment horizontal="center" vertical="center" wrapText="1"/>
    </xf>
    <xf numFmtId="164" fontId="10" fillId="10" borderId="0" xfId="1" applyNumberFormat="1" applyFont="1" applyFill="1" applyBorder="1"/>
    <xf numFmtId="164" fontId="11" fillId="14" borderId="0" xfId="1" applyNumberFormat="1" applyFont="1" applyFill="1"/>
    <xf numFmtId="166" fontId="11" fillId="14" borderId="0" xfId="2" applyNumberFormat="1" applyFont="1" applyFill="1" applyAlignment="1">
      <alignment horizontal="center"/>
    </xf>
    <xf numFmtId="166" fontId="7" fillId="14" borderId="0" xfId="2" applyNumberFormat="1" applyFont="1" applyFill="1"/>
    <xf numFmtId="0" fontId="22" fillId="14" borderId="0" xfId="0" applyFont="1" applyFill="1"/>
    <xf numFmtId="0" fontId="21" fillId="14" borderId="0" xfId="0" applyFont="1" applyFill="1"/>
    <xf numFmtId="164" fontId="7" fillId="12" borderId="0" xfId="1" applyNumberFormat="1" applyFont="1" applyFill="1"/>
    <xf numFmtId="0" fontId="8" fillId="19" borderId="3" xfId="0" applyFont="1" applyFill="1" applyBorder="1" applyAlignment="1">
      <alignment horizontal="center" vertical="center" wrapText="1"/>
    </xf>
    <xf numFmtId="164" fontId="10" fillId="10" borderId="3" xfId="1" applyNumberFormat="1" applyFont="1" applyFill="1" applyBorder="1" applyAlignment="1">
      <alignment horizontal="center"/>
    </xf>
    <xf numFmtId="164" fontId="7" fillId="13" borderId="0" xfId="1" applyNumberFormat="1" applyFont="1" applyFill="1"/>
    <xf numFmtId="0" fontId="7" fillId="13" borderId="0" xfId="0" applyFont="1" applyFill="1"/>
    <xf numFmtId="0" fontId="27" fillId="0" borderId="0" xfId="0" quotePrefix="1" applyFont="1"/>
    <xf numFmtId="0" fontId="27" fillId="0" borderId="0" xfId="0" applyFont="1"/>
    <xf numFmtId="0" fontId="28" fillId="0" borderId="0" xfId="0" applyFont="1"/>
    <xf numFmtId="0" fontId="28" fillId="0" borderId="0" xfId="0" applyFont="1" applyAlignment="1">
      <alignment horizontal="center" vertical="center"/>
    </xf>
    <xf numFmtId="164" fontId="28" fillId="0" borderId="0" xfId="1" applyNumberFormat="1" applyFont="1"/>
    <xf numFmtId="164" fontId="11" fillId="0" borderId="0" xfId="1" applyNumberFormat="1" applyFont="1"/>
    <xf numFmtId="0" fontId="29" fillId="0" borderId="0" xfId="0" applyFont="1"/>
    <xf numFmtId="0" fontId="29" fillId="0" borderId="0" xfId="0" applyFont="1" applyAlignment="1">
      <alignment horizontal="center" vertical="center"/>
    </xf>
    <xf numFmtId="165" fontId="13" fillId="10" borderId="10" xfId="1" applyNumberFormat="1" applyFont="1" applyFill="1" applyBorder="1"/>
    <xf numFmtId="165" fontId="28" fillId="0" borderId="0" xfId="1" applyNumberFormat="1" applyFont="1"/>
    <xf numFmtId="164" fontId="7" fillId="3" borderId="0" xfId="1" applyNumberFormat="1" applyFont="1" applyFill="1"/>
    <xf numFmtId="164" fontId="28" fillId="3" borderId="0" xfId="1" applyNumberFormat="1" applyFont="1" applyFill="1"/>
    <xf numFmtId="0" fontId="10" fillId="3" borderId="0" xfId="0" applyFont="1" applyFill="1"/>
    <xf numFmtId="0" fontId="10" fillId="5" borderId="0" xfId="0" applyFont="1" applyFill="1"/>
    <xf numFmtId="164" fontId="30" fillId="5" borderId="0" xfId="1" applyNumberFormat="1" applyFont="1" applyFill="1" applyAlignment="1">
      <alignment horizontal="center"/>
    </xf>
    <xf numFmtId="164" fontId="12" fillId="5" borderId="0" xfId="1" applyNumberFormat="1" applyFont="1" applyFill="1"/>
    <xf numFmtId="0" fontId="29" fillId="17" borderId="0" xfId="0" applyFont="1" applyFill="1"/>
    <xf numFmtId="164" fontId="7" fillId="17" borderId="0" xfId="1" applyNumberFormat="1" applyFont="1" applyFill="1"/>
    <xf numFmtId="164" fontId="28" fillId="17" borderId="0" xfId="1" applyNumberFormat="1" applyFont="1" applyFill="1"/>
    <xf numFmtId="164" fontId="29" fillId="0" borderId="0" xfId="1" applyNumberFormat="1" applyFont="1" applyAlignment="1">
      <alignment horizontal="center" wrapText="1"/>
    </xf>
    <xf numFmtId="164" fontId="29" fillId="0" borderId="0" xfId="1" applyNumberFormat="1" applyFont="1"/>
    <xf numFmtId="164" fontId="29" fillId="0" borderId="0" xfId="1" applyNumberFormat="1" applyFont="1" applyAlignment="1">
      <alignment horizontal="center" vertical="center"/>
    </xf>
    <xf numFmtId="0" fontId="11" fillId="17" borderId="10" xfId="0" applyFont="1" applyFill="1" applyBorder="1"/>
    <xf numFmtId="164" fontId="7" fillId="17" borderId="10" xfId="1" applyNumberFormat="1" applyFont="1" applyFill="1" applyBorder="1"/>
    <xf numFmtId="164" fontId="25" fillId="14" borderId="0" xfId="1" applyNumberFormat="1" applyFont="1" applyFill="1" applyBorder="1" applyAlignment="1">
      <alignment horizontal="center"/>
    </xf>
    <xf numFmtId="0" fontId="11" fillId="14" borderId="0" xfId="0" applyFont="1" applyFill="1" applyAlignment="1">
      <alignment vertical="center"/>
    </xf>
    <xf numFmtId="164" fontId="7" fillId="14" borderId="0" xfId="1" applyNumberFormat="1" applyFont="1" applyFill="1" applyAlignment="1">
      <alignment vertical="center"/>
    </xf>
    <xf numFmtId="166" fontId="7" fillId="14" borderId="0" xfId="2" applyNumberFormat="1" applyFont="1" applyFill="1" applyAlignment="1">
      <alignment vertical="center"/>
    </xf>
    <xf numFmtId="164" fontId="7" fillId="14" borderId="0" xfId="1" applyNumberFormat="1" applyFont="1" applyFill="1" applyAlignment="1">
      <alignment vertical="center" wrapText="1"/>
    </xf>
    <xf numFmtId="166" fontId="7" fillId="0" borderId="0" xfId="2" applyNumberFormat="1" applyFont="1" applyAlignment="1">
      <alignment vertical="center"/>
    </xf>
    <xf numFmtId="0" fontId="7" fillId="0" borderId="0" xfId="0" applyFont="1" applyAlignment="1">
      <alignment vertical="center"/>
    </xf>
    <xf numFmtId="0" fontId="11" fillId="16" borderId="0" xfId="0" applyFont="1" applyFill="1" applyAlignment="1">
      <alignment vertical="center"/>
    </xf>
    <xf numFmtId="164" fontId="7" fillId="16" borderId="0" xfId="1" applyNumberFormat="1" applyFont="1" applyFill="1" applyAlignment="1">
      <alignment vertical="center"/>
    </xf>
    <xf numFmtId="166" fontId="7" fillId="16" borderId="0" xfId="2" applyNumberFormat="1" applyFont="1" applyFill="1" applyAlignment="1">
      <alignment vertical="center"/>
    </xf>
    <xf numFmtId="164" fontId="7" fillId="8" borderId="7" xfId="1" applyNumberFormat="1" applyFont="1" applyFill="1" applyBorder="1" applyAlignment="1">
      <alignment vertical="center"/>
    </xf>
    <xf numFmtId="164" fontId="7" fillId="16" borderId="0" xfId="1" applyNumberFormat="1" applyFont="1" applyFill="1" applyAlignment="1">
      <alignment vertical="center" wrapText="1"/>
    </xf>
    <xf numFmtId="164" fontId="8" fillId="5" borderId="3" xfId="1" applyNumberFormat="1" applyFont="1" applyFill="1" applyBorder="1" applyAlignment="1">
      <alignment horizontal="center" vertical="center" wrapText="1"/>
    </xf>
    <xf numFmtId="0" fontId="13" fillId="9" borderId="8" xfId="0" applyFont="1" applyFill="1" applyBorder="1" applyAlignment="1">
      <alignment vertical="center" wrapText="1"/>
    </xf>
    <xf numFmtId="10" fontId="7" fillId="0" borderId="0" xfId="2" applyNumberFormat="1" applyFont="1"/>
    <xf numFmtId="43" fontId="7" fillId="0" borderId="0" xfId="1" applyNumberFormat="1" applyFont="1" applyAlignment="1">
      <alignment horizontal="center"/>
    </xf>
    <xf numFmtId="164" fontId="10" fillId="10" borderId="1" xfId="1" applyNumberFormat="1" applyFont="1" applyFill="1" applyBorder="1" applyAlignment="1">
      <alignment horizontal="center"/>
    </xf>
    <xf numFmtId="164" fontId="7" fillId="0" borderId="0" xfId="1" applyNumberFormat="1" applyFont="1" applyAlignment="1">
      <alignment horizontal="center"/>
    </xf>
    <xf numFmtId="43" fontId="7" fillId="0" borderId="0" xfId="2" applyNumberFormat="1" applyFont="1" applyAlignment="1">
      <alignment horizontal="center"/>
    </xf>
    <xf numFmtId="9" fontId="7" fillId="16" borderId="0" xfId="2" applyFont="1" applyFill="1"/>
    <xf numFmtId="9" fontId="10" fillId="10" borderId="3" xfId="2" applyFont="1" applyFill="1" applyBorder="1"/>
    <xf numFmtId="0" fontId="0" fillId="14" borderId="0" xfId="0" applyFill="1"/>
    <xf numFmtId="0" fontId="13" fillId="6" borderId="8" xfId="0" applyFont="1" applyFill="1" applyBorder="1" applyAlignment="1">
      <alignment horizontal="center" vertical="center" wrapText="1"/>
    </xf>
    <xf numFmtId="0" fontId="31" fillId="14" borderId="0" xfId="0" applyFont="1" applyFill="1" applyAlignment="1">
      <alignment horizontal="center" vertical="center" wrapText="1"/>
    </xf>
    <xf numFmtId="164" fontId="21" fillId="16" borderId="0" xfId="1" applyNumberFormat="1" applyFont="1" applyFill="1" applyAlignment="1">
      <alignment horizontal="center"/>
    </xf>
    <xf numFmtId="164" fontId="21" fillId="0" borderId="0" xfId="1" applyNumberFormat="1" applyFont="1" applyAlignment="1">
      <alignment horizontal="center"/>
    </xf>
    <xf numFmtId="165" fontId="7" fillId="0" borderId="0" xfId="1" applyNumberFormat="1" applyFont="1" applyAlignment="1">
      <alignment horizontal="center"/>
    </xf>
    <xf numFmtId="165" fontId="10" fillId="10" borderId="1" xfId="1" applyNumberFormat="1" applyFont="1" applyFill="1" applyBorder="1" applyAlignment="1">
      <alignment horizontal="center"/>
    </xf>
    <xf numFmtId="0" fontId="7" fillId="0" borderId="0" xfId="0" applyFont="1" applyAlignment="1">
      <alignment horizontal="center" vertical="center"/>
    </xf>
    <xf numFmtId="49" fontId="32" fillId="0" borderId="0" xfId="0" applyNumberFormat="1" applyFont="1"/>
    <xf numFmtId="49" fontId="3" fillId="0" borderId="0" xfId="0" applyNumberFormat="1" applyFont="1" applyFill="1"/>
    <xf numFmtId="0" fontId="3" fillId="0" borderId="0" xfId="0" applyFont="1"/>
    <xf numFmtId="0" fontId="32" fillId="0" borderId="0" xfId="0" applyFont="1"/>
    <xf numFmtId="49" fontId="3" fillId="0" borderId="0" xfId="0" applyNumberFormat="1" applyFont="1"/>
    <xf numFmtId="165" fontId="8" fillId="3" borderId="3" xfId="1" applyNumberFormat="1" applyFont="1" applyFill="1" applyBorder="1" applyAlignment="1">
      <alignment horizontal="center" vertical="center" wrapText="1"/>
    </xf>
    <xf numFmtId="165" fontId="10" fillId="10" borderId="3" xfId="1" applyNumberFormat="1" applyFont="1" applyFill="1" applyBorder="1" applyAlignment="1">
      <alignment horizontal="center" vertical="center" wrapText="1"/>
    </xf>
    <xf numFmtId="165" fontId="10" fillId="10" borderId="3" xfId="1" applyNumberFormat="1" applyFont="1" applyFill="1" applyBorder="1"/>
    <xf numFmtId="164" fontId="8" fillId="3" borderId="3" xfId="1" applyNumberFormat="1" applyFont="1" applyFill="1" applyBorder="1" applyAlignment="1">
      <alignment horizontal="center" vertical="center" wrapText="1"/>
    </xf>
    <xf numFmtId="0" fontId="0" fillId="0" borderId="0" xfId="0" applyAlignment="1">
      <alignment horizontal="left" indent="1"/>
    </xf>
    <xf numFmtId="0" fontId="0" fillId="0" borderId="0" xfId="0" applyAlignment="1">
      <alignment horizontal="left" indent="2"/>
    </xf>
    <xf numFmtId="0" fontId="13" fillId="3" borderId="0" xfId="0" applyFont="1" applyFill="1" applyBorder="1"/>
    <xf numFmtId="165" fontId="13" fillId="3" borderId="0" xfId="1" applyNumberFormat="1" applyFont="1" applyFill="1" applyBorder="1"/>
    <xf numFmtId="0" fontId="33" fillId="0" borderId="0" xfId="0" applyFont="1"/>
    <xf numFmtId="164" fontId="7" fillId="17" borderId="0" xfId="1" applyNumberFormat="1" applyFont="1" applyFill="1" applyAlignment="1">
      <alignment horizontal="center"/>
    </xf>
    <xf numFmtId="164" fontId="13" fillId="19" borderId="0" xfId="1" applyNumberFormat="1" applyFont="1" applyFill="1" applyAlignment="1">
      <alignment horizontal="left"/>
    </xf>
    <xf numFmtId="164" fontId="13" fillId="19" borderId="0" xfId="1" applyNumberFormat="1" applyFont="1" applyFill="1" applyAlignment="1">
      <alignment horizontal="center"/>
    </xf>
    <xf numFmtId="164" fontId="13" fillId="3" borderId="0" xfId="1" applyNumberFormat="1" applyFont="1" applyFill="1" applyAlignment="1">
      <alignment horizontal="right"/>
    </xf>
    <xf numFmtId="164" fontId="13" fillId="3" borderId="0" xfId="1" applyNumberFormat="1" applyFont="1" applyFill="1"/>
    <xf numFmtId="164" fontId="13" fillId="19" borderId="4" xfId="1" applyNumberFormat="1" applyFont="1" applyFill="1" applyBorder="1" applyAlignment="1">
      <alignment horizontal="center"/>
    </xf>
    <xf numFmtId="164" fontId="7" fillId="0" borderId="4" xfId="1" applyNumberFormat="1" applyFont="1" applyBorder="1"/>
    <xf numFmtId="43" fontId="7" fillId="0" borderId="4" xfId="1" applyNumberFormat="1" applyFont="1" applyBorder="1"/>
    <xf numFmtId="164" fontId="13" fillId="3" borderId="4" xfId="1" applyNumberFormat="1" applyFont="1" applyFill="1" applyBorder="1"/>
    <xf numFmtId="165" fontId="7" fillId="0" borderId="0" xfId="1" applyNumberFormat="1" applyFont="1" applyAlignment="1">
      <alignment horizontal="center" vertical="center" wrapText="1"/>
    </xf>
    <xf numFmtId="165" fontId="7" fillId="0" borderId="0" xfId="1" quotePrefix="1" applyNumberFormat="1" applyFont="1"/>
    <xf numFmtId="164" fontId="7" fillId="0" borderId="0" xfId="1" applyNumberFormat="1" applyFont="1" applyAlignment="1">
      <alignment vertical="center"/>
    </xf>
    <xf numFmtId="164" fontId="7" fillId="0" borderId="0" xfId="1" applyNumberFormat="1" applyFont="1" applyAlignment="1">
      <alignment vertical="center" wrapText="1"/>
    </xf>
    <xf numFmtId="165" fontId="7" fillId="0" borderId="0" xfId="1" applyNumberFormat="1" applyFont="1" applyFill="1" applyAlignment="1">
      <alignment vertical="center"/>
    </xf>
    <xf numFmtId="165" fontId="7" fillId="0" borderId="4" xfId="1" applyNumberFormat="1" applyFont="1" applyBorder="1" applyAlignment="1">
      <alignment vertical="center"/>
    </xf>
    <xf numFmtId="164" fontId="34" fillId="0" borderId="0" xfId="1" applyNumberFormat="1" applyFont="1" applyAlignment="1">
      <alignment horizontal="right"/>
    </xf>
    <xf numFmtId="164" fontId="34" fillId="0" borderId="0" xfId="1" applyNumberFormat="1" applyFont="1"/>
    <xf numFmtId="164" fontId="34" fillId="0" borderId="4" xfId="1" applyNumberFormat="1" applyFont="1" applyBorder="1"/>
    <xf numFmtId="0" fontId="35" fillId="0" borderId="0" xfId="0" applyFont="1"/>
    <xf numFmtId="0" fontId="33" fillId="0" borderId="0" xfId="0" applyFont="1" applyAlignment="1">
      <alignment horizontal="center"/>
    </xf>
    <xf numFmtId="2" fontId="7" fillId="0" borderId="0" xfId="0" applyNumberFormat="1" applyFont="1"/>
    <xf numFmtId="2" fontId="7" fillId="0" borderId="0" xfId="0" quotePrefix="1" applyNumberFormat="1" applyFont="1"/>
    <xf numFmtId="0" fontId="13" fillId="25" borderId="0" xfId="0" applyFont="1" applyFill="1"/>
    <xf numFmtId="43" fontId="13" fillId="25" borderId="0" xfId="1" applyNumberFormat="1" applyFont="1" applyFill="1"/>
    <xf numFmtId="164" fontId="13" fillId="25" borderId="0" xfId="1" applyNumberFormat="1" applyFont="1" applyFill="1"/>
    <xf numFmtId="43" fontId="7" fillId="0" borderId="0" xfId="0" applyNumberFormat="1" applyFont="1"/>
    <xf numFmtId="0" fontId="11" fillId="17" borderId="0" xfId="0" applyFont="1" applyFill="1" applyAlignment="1">
      <alignment horizontal="center"/>
    </xf>
    <xf numFmtId="1" fontId="7" fillId="0" borderId="0" xfId="0" applyNumberFormat="1" applyFont="1"/>
    <xf numFmtId="0" fontId="0" fillId="14" borderId="0" xfId="0" applyFill="1" applyAlignment="1">
      <alignment horizontal="center" vertical="center"/>
    </xf>
    <xf numFmtId="164" fontId="0" fillId="14" borderId="0" xfId="1" applyNumberFormat="1" applyFont="1" applyFill="1" applyAlignment="1">
      <alignment horizontal="center" vertical="center"/>
    </xf>
    <xf numFmtId="0" fontId="0" fillId="0" borderId="0" xfId="0" applyAlignment="1">
      <alignment horizontal="center" vertical="center"/>
    </xf>
    <xf numFmtId="0" fontId="36" fillId="14" borderId="0" xfId="0" quotePrefix="1" applyFont="1" applyFill="1" applyAlignment="1">
      <alignment horizontal="center" vertical="center" wrapText="1"/>
    </xf>
    <xf numFmtId="164" fontId="7" fillId="17" borderId="4" xfId="1" applyNumberFormat="1" applyFont="1" applyFill="1" applyBorder="1"/>
    <xf numFmtId="165" fontId="37" fillId="0" borderId="0" xfId="1" applyNumberFormat="1" applyFont="1"/>
    <xf numFmtId="164" fontId="37" fillId="0" borderId="0" xfId="1" applyNumberFormat="1" applyFont="1"/>
    <xf numFmtId="164" fontId="21" fillId="14" borderId="0" xfId="1" quotePrefix="1" applyNumberFormat="1" applyFont="1" applyFill="1" applyAlignment="1">
      <alignment horizontal="center" vertical="center" wrapText="1"/>
    </xf>
    <xf numFmtId="0" fontId="20" fillId="0" borderId="0" xfId="0" quotePrefix="1" applyFont="1" applyAlignment="1">
      <alignment horizontal="left" vertical="top"/>
    </xf>
    <xf numFmtId="164" fontId="7" fillId="0" borderId="0" xfId="1" applyNumberFormat="1" applyFont="1" applyAlignment="1">
      <alignment horizontal="center" vertical="center"/>
    </xf>
    <xf numFmtId="164" fontId="11" fillId="0" borderId="4" xfId="1" applyNumberFormat="1" applyFont="1" applyBorder="1" applyAlignment="1">
      <alignment horizontal="center" vertical="center" wrapText="1"/>
    </xf>
    <xf numFmtId="164" fontId="7" fillId="26" borderId="4" xfId="1" applyNumberFormat="1" applyFont="1" applyFill="1" applyBorder="1"/>
    <xf numFmtId="165" fontId="7" fillId="26" borderId="4" xfId="1" applyNumberFormat="1" applyFont="1" applyFill="1" applyBorder="1"/>
    <xf numFmtId="164" fontId="7" fillId="0" borderId="0" xfId="1" applyNumberFormat="1" applyFont="1" applyFill="1"/>
    <xf numFmtId="165" fontId="7" fillId="20" borderId="0" xfId="1" applyNumberFormat="1" applyFont="1" applyFill="1"/>
    <xf numFmtId="165" fontId="7" fillId="20" borderId="0" xfId="1" quotePrefix="1" applyNumberFormat="1" applyFont="1" applyFill="1"/>
    <xf numFmtId="165" fontId="13" fillId="25" borderId="0" xfId="1" applyNumberFormat="1" applyFont="1" applyFill="1"/>
    <xf numFmtId="0" fontId="6" fillId="4" borderId="0" xfId="0" applyFont="1" applyFill="1" applyAlignment="1"/>
    <xf numFmtId="164" fontId="6" fillId="2" borderId="0" xfId="1" applyNumberFormat="1" applyFont="1" applyFill="1" applyAlignment="1">
      <alignment horizontal="center"/>
    </xf>
    <xf numFmtId="0" fontId="6" fillId="8" borderId="11" xfId="0" applyFont="1" applyFill="1" applyBorder="1" applyAlignment="1">
      <alignment horizontal="center"/>
    </xf>
    <xf numFmtId="0" fontId="6" fillId="2" borderId="1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4" borderId="0" xfId="0" applyFont="1" applyFill="1" applyAlignment="1">
      <alignment horizontal="center"/>
    </xf>
    <xf numFmtId="0" fontId="31" fillId="14" borderId="0" xfId="0" applyFont="1" applyFill="1" applyAlignment="1">
      <alignment horizontal="center" vertical="center" wrapText="1"/>
    </xf>
    <xf numFmtId="0" fontId="24" fillId="4" borderId="9" xfId="0" applyFont="1" applyFill="1" applyBorder="1" applyAlignment="1">
      <alignment horizontal="center"/>
    </xf>
    <xf numFmtId="0" fontId="24" fillId="4" borderId="12" xfId="0" applyFont="1" applyFill="1" applyBorder="1" applyAlignment="1">
      <alignment horizontal="center"/>
    </xf>
    <xf numFmtId="0" fontId="24" fillId="4" borderId="7" xfId="0" applyFont="1" applyFill="1" applyBorder="1" applyAlignment="1">
      <alignment horizontal="center"/>
    </xf>
    <xf numFmtId="164" fontId="25" fillId="8" borderId="0" xfId="1" applyNumberFormat="1" applyFont="1" applyFill="1" applyBorder="1" applyAlignment="1">
      <alignment horizontal="center"/>
    </xf>
    <xf numFmtId="164" fontId="29" fillId="0" borderId="0" xfId="1" applyNumberFormat="1" applyFont="1" applyAlignment="1">
      <alignment horizontal="center"/>
    </xf>
    <xf numFmtId="0" fontId="21" fillId="14" borderId="0" xfId="0" quotePrefix="1" applyFont="1" applyFill="1" applyAlignment="1">
      <alignment horizontal="center" vertical="center" wrapText="1"/>
    </xf>
    <xf numFmtId="0" fontId="21" fillId="14" borderId="0" xfId="0" applyFont="1" applyFill="1" applyAlignment="1">
      <alignment horizontal="center" vertical="center" wrapText="1"/>
    </xf>
    <xf numFmtId="0" fontId="7" fillId="15" borderId="0" xfId="0" applyFont="1" applyFill="1" applyAlignment="1">
      <alignment horizontal="center" vertical="center" textRotation="90"/>
    </xf>
    <xf numFmtId="0" fontId="7" fillId="17" borderId="0" xfId="0" applyFont="1" applyFill="1" applyAlignment="1">
      <alignment horizontal="center" vertical="center" textRotation="90" wrapText="1"/>
    </xf>
    <xf numFmtId="169" fontId="7" fillId="15" borderId="0" xfId="0" applyNumberFormat="1" applyFont="1" applyFill="1" applyAlignment="1">
      <alignment horizontal="center"/>
    </xf>
    <xf numFmtId="169" fontId="7" fillId="20" borderId="0" xfId="0" applyNumberFormat="1" applyFont="1" applyFill="1" applyAlignment="1">
      <alignment horizontal="center"/>
    </xf>
    <xf numFmtId="169" fontId="7" fillId="24" borderId="0" xfId="0" applyNumberFormat="1" applyFont="1" applyFill="1" applyAlignment="1">
      <alignment horizontal="center"/>
    </xf>
    <xf numFmtId="164" fontId="13" fillId="25" borderId="0" xfId="1" applyNumberFormat="1" applyFont="1" applyFill="1" applyAlignment="1">
      <alignment horizontal="center"/>
    </xf>
    <xf numFmtId="0" fontId="13" fillId="21" borderId="0" xfId="0" applyFont="1" applyFill="1" applyAlignment="1">
      <alignment horizontal="center"/>
    </xf>
    <xf numFmtId="0" fontId="13" fillId="22" borderId="0" xfId="0" applyFont="1" applyFill="1" applyAlignment="1">
      <alignment horizontal="center"/>
    </xf>
    <xf numFmtId="0" fontId="13" fillId="23" borderId="0" xfId="0" applyFont="1" applyFill="1" applyAlignment="1">
      <alignment horizontal="center"/>
    </xf>
    <xf numFmtId="0" fontId="7" fillId="15" borderId="0" xfId="0" applyFont="1" applyFill="1" applyAlignment="1">
      <alignment horizontal="center"/>
    </xf>
    <xf numFmtId="0" fontId="7" fillId="20" borderId="0" xfId="0" applyFont="1" applyFill="1" applyAlignment="1">
      <alignment horizontal="center"/>
    </xf>
    <xf numFmtId="0" fontId="7" fillId="24" borderId="0" xfId="0" applyFont="1" applyFill="1" applyAlignment="1">
      <alignment horizontal="center"/>
    </xf>
    <xf numFmtId="0" fontId="13" fillId="6" borderId="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20" fillId="0" borderId="0" xfId="0" quotePrefix="1" applyFont="1" applyAlignment="1">
      <alignment horizontal="left" vertical="top"/>
    </xf>
    <xf numFmtId="0" fontId="0" fillId="0" borderId="0" xfId="0" applyAlignment="1"/>
    <xf numFmtId="0" fontId="26" fillId="0" borderId="0" xfId="0" applyFont="1" applyAlignment="1">
      <alignment horizontal="center"/>
    </xf>
    <xf numFmtId="164" fontId="27" fillId="13" borderId="0" xfId="1" applyNumberFormat="1" applyFont="1" applyFill="1" applyAlignment="1">
      <alignment horizontal="left" wrapText="1"/>
    </xf>
  </cellXfs>
  <cellStyles count="5">
    <cellStyle name="Comma" xfId="1" builtinId="3"/>
    <cellStyle name="Currency" xfId="4" builtinId="4"/>
    <cellStyle name="Good" xfId="3" builtinId="26"/>
    <cellStyle name="Normal" xfId="0" builtinId="0"/>
    <cellStyle name="Percent" xfId="2" builtinId="5"/>
  </cellStyles>
  <dxfs count="3">
    <dxf>
      <numFmt numFmtId="165" formatCode="_(* #,##0.0_);_(* \(#,##0.0\);_(* &quot;-&quot;??_);_(@_)"/>
    </dxf>
    <dxf>
      <numFmt numFmtId="165" formatCode="_(* #,##0.0_);_(* \(#,##0.0\);_(* &quot;-&quot;??_);_(@_)"/>
    </dxf>
    <dxf>
      <numFmt numFmtId="165" formatCode="_(* #,##0.0_);_(* \(#,##0.0\);_(* &quot;-&quot;??_);_(@_)"/>
    </dxf>
  </dxfs>
  <tableStyles count="0" defaultTableStyle="TableStyleMedium2" defaultPivotStyle="PivotStyleLight16"/>
  <colors>
    <mruColors>
      <color rgb="FF00C1DE"/>
      <color rgb="FF793DBE"/>
      <color rgb="FFFFCE00"/>
      <color rgb="FF793D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2.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1.xml"/><Relationship Id="rId30" Type="http://schemas.microsoft.com/office/2007/relationships/slicerCache" Target="slicerCaches/slicerCache1.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9525</xdr:rowOff>
    </xdr:from>
    <xdr:to>
      <xdr:col>13</xdr:col>
      <xdr:colOff>553973</xdr:colOff>
      <xdr:row>34</xdr:row>
      <xdr:rowOff>9525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5105400"/>
          <a:ext cx="7516748" cy="426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238125</xdr:colOff>
      <xdr:row>12</xdr:row>
      <xdr:rowOff>171450</xdr:rowOff>
    </xdr:from>
    <xdr:to>
      <xdr:col>10</xdr:col>
      <xdr:colOff>238125</xdr:colOff>
      <xdr:row>26</xdr:row>
      <xdr:rowOff>28575</xdr:rowOff>
    </xdr:to>
    <mc:AlternateContent xmlns:mc="http://schemas.openxmlformats.org/markup-compatibility/2006" xmlns:a14="http://schemas.microsoft.com/office/drawing/2010/main">
      <mc:Choice Requires="a14">
        <xdr:graphicFrame macro="">
          <xdr:nvGraphicFramePr>
            <xdr:cNvPr id="2" name="Job Code Cohort">
              <a:extLst>
                <a:ext uri="{FF2B5EF4-FFF2-40B4-BE49-F238E27FC236}">
                  <a16:creationId xmlns:a16="http://schemas.microsoft.com/office/drawing/2014/main" id="{00000000-0008-0000-1400-000002000000}"/>
                </a:ext>
              </a:extLst>
            </xdr:cNvPr>
            <xdr:cNvGraphicFramePr/>
          </xdr:nvGraphicFramePr>
          <xdr:xfrm>
            <a:off x="0" y="0"/>
            <a:ext cx="0" cy="0"/>
          </xdr:xfrm>
          <a:graphic>
            <a:graphicData uri="http://schemas.microsoft.com/office/drawing/2010/slicer">
              <sle:slicer xmlns:sle="http://schemas.microsoft.com/office/drawing/2010/slicer" name="Job Code Cohort"/>
            </a:graphicData>
          </a:graphic>
        </xdr:graphicFrame>
      </mc:Choice>
      <mc:Fallback xmlns="">
        <xdr:sp macro="" textlink="">
          <xdr:nvSpPr>
            <xdr:cNvPr id="0" name=""/>
            <xdr:cNvSpPr>
              <a:spLocks noTextEdit="1"/>
            </xdr:cNvSpPr>
          </xdr:nvSpPr>
          <xdr:spPr>
            <a:xfrm>
              <a:off x="6943725" y="24574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Vishey" refreshedDate="43682.808254166666" createdVersion="6" refreshedVersion="6" minRefreshableVersion="3" recordCount="232" xr:uid="{00000000-000A-0000-FFFF-FFFF03000000}">
  <cacheSource type="worksheet">
    <worksheetSource ref="A1:E1048576" sheet="Staffing Data"/>
  </cacheSource>
  <cacheFields count="4">
    <cacheField name="ACC Department" numFmtId="0">
      <sharedItems containsBlank="1"/>
    </cacheField>
    <cacheField name="Job Code" numFmtId="0">
      <sharedItems containsBlank="1" count="51">
        <s v="4172 - AMBUL CARE ADMSTN SUPV 1"/>
        <s v="6047 - Clin Informatics Supv 2"/>
        <s v="6473 - AMBUL CARE PAT MGR 2"/>
        <s v="8916 - NURSE- VOCATIONAL- SR"/>
        <s v="8966 - TECHNOLOGIST- ULTRASOUND- SR"/>
        <s v="8991 - MEDICAL ASSISTANT II- PER DIEM"/>
        <s v="8994 - ASSISTANT- MEDICAL- II"/>
        <s v="9138 - NURSE- CLINICAL III"/>
        <s v="9139 - NURSE- CLINICAL II"/>
        <s v="9147 - NURSE PRACTITIONER II"/>
        <s v="9211 - COORDINATOR-MED OFF SRVC-PD II"/>
        <s v="9213 - COORDINATOR- MED OFF SRVC- II"/>
        <s v="9214 - COORDINATOR- MED OFF SRVC- III"/>
        <s v="9282 - PHARMACY TECHNICIAN II"/>
        <s v="5426 - DIETITIAN II"/>
        <s v="8974 - TECHNICIAN- HOSPITAL LAB- III"/>
        <s v="8993 - ASSISTANT- MEDICAL- I"/>
        <s v="9119 - CN II - PER DIEM"/>
        <s v="9383 - PSYCHOLOGIST II"/>
        <s v="6475 - AMBUL CARE PAT SUPV 2"/>
        <s v="8930 - TECHNICIAN- SURGICAL- SR"/>
        <s v="9306 - SOCIAL- WORKER- CLIN- LICENSED"/>
        <s v="4176 - AMBUL CARE ADMSTN CRD 2"/>
        <s v="6472 - AMBUL CARE ADMSTN MGR 1"/>
        <s v="8882 - MED OFC SVC CRD 3 LD"/>
        <s v="0777 - ASSISTANT DENTIST"/>
        <s v="4722 - _____ASSISTANT III"/>
        <s v="9196 - DENTAL ASST- REGISTERED"/>
        <s v="5421 - DIETITIAN- PD"/>
        <s v="5424 - DIETITIAN- SR"/>
        <s v="9219 - TECH-STERILE PROCESSING III"/>
        <s v="4173 - AMBUL CARE PAT SUPV 1"/>
        <s v="4608 - LVN SUPV 1"/>
        <s v="8928 - TECHNICIAN- ORTHOPEDIC- SR"/>
        <s v="NURS - Nursing Temp"/>
        <s v="4580 - HEALTH INFO MGT SUPV 2"/>
        <s v="7938 - PHYS THER 3 EX"/>
        <s v="6536 - SOCIAL WORK HC SUPV 2"/>
        <s v="8918 - NURSE- VOCATIONAL- PER DIEM"/>
        <s v="8975 - TECHNICIAN- HOSPITAL LAB- II"/>
        <s v="9148 - NURSE PRACTITIONER I"/>
        <s v="5820 - REHAB SVC SPEC 1"/>
        <s v="6601 - REHAB SVC SUPV 2"/>
        <s v="7866 - AUDIOLOGIST SR EX"/>
        <s v="4723 - _____ASSISTANT II"/>
        <s v="9247 - PHARMACIST- STAFF II"/>
        <s v="9281 - PHARMACY TECHNICIAN III"/>
        <s v="7961 - SPEECH PATHOLOGIST NEX"/>
        <s v="9023 - TECHNOLOGIST-RADIOLOGIC"/>
        <s v="9472 - PATHOLOGIST- SPEECH- SR"/>
        <m/>
      </sharedItems>
    </cacheField>
    <cacheField name="Job Code Cohort" numFmtId="0">
      <sharedItems containsNonDate="0" containsString="0" containsBlank="1"/>
    </cacheField>
    <cacheField name="FTE's" numFmtId="0">
      <sharedItems containsString="0" containsBlank="1" containsNumber="1" minValue="-0.09" maxValue="13.510000000000002" count="126">
        <n v="1"/>
        <n v="0.01"/>
        <n v="1.04"/>
        <n v="1.01"/>
        <n v="0.5"/>
        <n v="9.9999999999999992E-2"/>
        <n v="1.78"/>
        <n v="2.69"/>
        <n v="0.9"/>
        <n v="0.2"/>
        <n v="1.45"/>
        <n v="2.38"/>
        <n v="0.05"/>
        <n v="0.26"/>
        <n v="0.87"/>
        <n v="0.09"/>
        <n v="0.94"/>
        <n v="2.16"/>
        <n v="0.3"/>
        <n v="0.1"/>
        <n v="0.85"/>
        <n v="0.03"/>
        <n v="2"/>
        <n v="7.0000000000000007E-2"/>
        <n v="0.13"/>
        <n v="0.02"/>
        <n v="0.52"/>
        <n v="2.0700000000000003"/>
        <n v="0.6"/>
        <n v="6.2299999999999995"/>
        <n v="1.05"/>
        <n v="3.04"/>
        <n v="5.91"/>
        <n v="0.25"/>
        <n v="0.31"/>
        <n v="1.24"/>
        <n v="2.9"/>
        <n v="0.04"/>
        <n v="0.08"/>
        <n v="0.62"/>
        <n v="5.97"/>
        <n v="1.56"/>
        <n v="2.0199999999999996"/>
        <n v="7.16"/>
        <n v="10.84"/>
        <n v="0.91"/>
        <n v="0.22"/>
        <n v="-0.09"/>
        <n v="0.06"/>
        <n v="2.87"/>
        <n v="13.510000000000002"/>
        <n v="3.99"/>
        <n v="5.8000000000000007"/>
        <n v="0.8"/>
        <n v="1.08"/>
        <n v="0.83"/>
        <n v="1.1200000000000001"/>
        <n v="4.92"/>
        <n v="2.17"/>
        <n v="4.43"/>
        <n v="2.0099999999999998"/>
        <n v="3.01"/>
        <n v="7.23"/>
        <n v="2.8600000000000003"/>
        <n v="4.46"/>
        <n v="4.12"/>
        <n v="5.82"/>
        <n v="8.73"/>
        <n v="0.14000000000000001"/>
        <n v="1.02"/>
        <n v="1.0900000000000001"/>
        <n v="0.76"/>
        <n v="2.46"/>
        <n v="2.92"/>
        <n v="1.3"/>
        <n v="0.66"/>
        <n v="2.6"/>
        <n v="5"/>
        <n v="6.26"/>
        <n v="4.0199999999999996"/>
        <n v="6.35"/>
        <n v="0.93"/>
        <n v="1.77"/>
        <n v="0.99"/>
        <n v="0.72"/>
        <n v="4.7"/>
        <n v="8.6"/>
        <n v="0.4"/>
        <n v="5.54"/>
        <n v="0.77"/>
        <n v="0.34"/>
        <n v="4.78"/>
        <n v="0.74"/>
        <n v="3.25"/>
        <n v="0.78"/>
        <n v="3.58"/>
        <n v="3.7199999999999998"/>
        <n v="0.11"/>
        <n v="1.9100000000000001"/>
        <n v="4.51"/>
        <n v="1.03"/>
        <n v="4.7699999999999996"/>
        <n v="4.91"/>
        <n v="0.16"/>
        <n v="5.2"/>
        <n v="0.18"/>
        <n v="1.22"/>
        <n v="0.39"/>
        <n v="0.17"/>
        <n v="2.0300000000000002"/>
        <n v="6.58"/>
        <n v="0.12"/>
        <n v="0.38999999999999996"/>
        <n v="9.2200000000000006"/>
        <n v="0.56999999999999995"/>
        <n v="7.7"/>
        <n v="9.5999999999999979"/>
        <n v="7.6"/>
        <n v="0.46"/>
        <n v="0.96"/>
        <n v="3"/>
        <n v="0.57999999999999996"/>
        <n v="0.98"/>
        <n v="0.92"/>
        <n v="2.5499999999999998"/>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Vishey" refreshedDate="43683.534882060187" createdVersion="6" refreshedVersion="6" minRefreshableVersion="3" recordCount="231" xr:uid="{00000000-000A-0000-FFFF-FFFF04000000}">
  <cacheSource type="worksheet">
    <worksheetSource ref="A1:E232" sheet="Staffing Data"/>
  </cacheSource>
  <cacheFields count="5">
    <cacheField name="ACC Department" numFmtId="0">
      <sharedItems/>
    </cacheField>
    <cacheField name="Clinic" numFmtId="0">
      <sharedItems count="16">
        <s v="Vascular Clinic"/>
        <s v="Cardiac Rehabilitation"/>
        <s v="ENT"/>
        <s v="Pain"/>
        <s v="PMR"/>
        <s v="Dental"/>
        <s v="Family"/>
        <s v="Ortho"/>
        <s v="OB GYN"/>
        <s v="PMR Clinic"/>
        <s v="Peds"/>
        <s v="Surgery"/>
        <s v="Urology"/>
        <s v="Cardiology"/>
        <s v="Internal Medicine"/>
        <s v="Plastic" u="1"/>
      </sharedItems>
    </cacheField>
    <cacheField name="Job Code" numFmtId="0">
      <sharedItems count="50">
        <s v="4172 - AMBUL CARE ADMSTN SUPV 1"/>
        <s v="6047 - Clin Informatics Supv 2"/>
        <s v="6473 - AMBUL CARE PAT MGR 2"/>
        <s v="8916 - NURSE- VOCATIONAL- SR"/>
        <s v="8966 - TECHNOLOGIST- ULTRASOUND- SR"/>
        <s v="8991 - MEDICAL ASSISTANT II- PER DIEM"/>
        <s v="8994 - ASSISTANT- MEDICAL- II"/>
        <s v="9138 - NURSE- CLINICAL III"/>
        <s v="9139 - NURSE- CLINICAL II"/>
        <s v="9147 - NURSE PRACTITIONER II"/>
        <s v="9211 - COORDINATOR-MED OFF SRVC-PD II"/>
        <s v="9213 - COORDINATOR- MED OFF SRVC- II"/>
        <s v="9214 - COORDINATOR- MED OFF SRVC- III"/>
        <s v="9282 - PHARMACY TECHNICIAN II"/>
        <s v="5426 - DIETITIAN II"/>
        <s v="8974 - TECHNICIAN- HOSPITAL LAB- III"/>
        <s v="8993 - ASSISTANT- MEDICAL- I"/>
        <s v="9119 - CN II - PER DIEM"/>
        <s v="9383 - PSYCHOLOGIST II"/>
        <s v="6475 - AMBUL CARE PAT SUPV 2"/>
        <s v="8930 - TECHNICIAN- SURGICAL- SR"/>
        <s v="9306 - SOCIAL- WORKER- CLIN- LICENSED"/>
        <s v="4176 - AMBUL CARE ADMSTN CRD 2"/>
        <s v="6472 - AMBUL CARE ADMSTN MGR 1"/>
        <s v="8882 - MED OFC SVC CRD 3 LD"/>
        <s v="0777 - ASSISTANT DENTIST"/>
        <s v="4722 - _____ASSISTANT III"/>
        <s v="9196 - DENTAL ASST- REGISTERED"/>
        <s v="5421 - DIETITIAN- PD"/>
        <s v="5424 - DIETITIAN- SR"/>
        <s v="9219 - TECH-STERILE PROCESSING III"/>
        <s v="4173 - AMBUL CARE PAT SUPV 1"/>
        <s v="4608 - LVN SUPV 1"/>
        <s v="8928 - TECHNICIAN- ORTHOPEDIC- SR"/>
        <s v="NURS - Nursing Temp"/>
        <s v="4580 - HEALTH INFO MGT SUPV 2"/>
        <s v="7938 - PHYS THER 3 EX"/>
        <s v="6536 - SOCIAL WORK HC SUPV 2"/>
        <s v="8918 - NURSE- VOCATIONAL- PER DIEM"/>
        <s v="8975 - TECHNICIAN- HOSPITAL LAB- II"/>
        <s v="9148 - NURSE PRACTITIONER I"/>
        <s v="5820 - REHAB SVC SPEC 1"/>
        <s v="6601 - REHAB SVC SUPV 2"/>
        <s v="7866 - AUDIOLOGIST SR EX"/>
        <s v="4723 - _____ASSISTANT II"/>
        <s v="9247 - PHARMACIST- STAFF II"/>
        <s v="9281 - PHARMACY TECHNICIAN III"/>
        <s v="7961 - SPEECH PATHOLOGIST NEX"/>
        <s v="9023 - TECHNOLOGIST-RADIOLOGIC"/>
        <s v="9472 - PATHOLOGIST- SPEECH- SR"/>
      </sharedItems>
    </cacheField>
    <cacheField name="Job Code Cohort" numFmtId="0">
      <sharedItems count="7">
        <s v="SUPV / MGR"/>
        <s v="RN"/>
        <s v="DI"/>
        <s v="MA"/>
        <s v="MOSC"/>
        <s v="Other"/>
        <s v="Lab"/>
      </sharedItems>
    </cacheField>
    <cacheField name="FTE's" numFmtId="0">
      <sharedItems containsSemiMixedTypes="0" containsString="0" containsNumber="1" minValue="-0.09" maxValue="13.510000000000002"/>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Vishey" refreshedDate="43767.580761805555" createdVersion="6" refreshedVersion="6" minRefreshableVersion="3" recordCount="232" xr:uid="{00000000-000A-0000-FFFF-FFFF05000000}">
  <cacheSource type="worksheet">
    <worksheetSource ref="B1:E1048576" sheet="Staffing Data"/>
  </cacheSource>
  <cacheFields count="4">
    <cacheField name="Clinic" numFmtId="0">
      <sharedItems containsBlank="1" count="16">
        <s v="Vascular Clinic"/>
        <s v="Cardiac Rehabilitation"/>
        <s v="ENT"/>
        <s v="Pain"/>
        <s v="PMR"/>
        <s v="Dental"/>
        <s v="Family"/>
        <s v="Ortho"/>
        <s v="OB GYN"/>
        <s v="PMR Clinic"/>
        <s v="Peds"/>
        <s v="Surgery"/>
        <s v="Urology"/>
        <s v="Cardiology"/>
        <s v="Internal Medicine"/>
        <m/>
      </sharedItems>
    </cacheField>
    <cacheField name="Job Code" numFmtId="0">
      <sharedItems containsBlank="1" count="51">
        <s v="4172 - AMBUL CARE ADMSTN SUPV 1"/>
        <s v="6047 - Clin Informatics Supv 2"/>
        <s v="6473 - AMBUL CARE PAT MGR 2"/>
        <s v="8916 - NURSE- VOCATIONAL- SR"/>
        <s v="8966 - TECHNOLOGIST- ULTRASOUND- SR"/>
        <s v="8991 - MEDICAL ASSISTANT II- PER DIEM"/>
        <s v="8994 - ASSISTANT- MEDICAL- II"/>
        <s v="9138 - NURSE- CLINICAL III"/>
        <s v="9139 - NURSE- CLINICAL II"/>
        <s v="9147 - NURSE PRACTITIONER II"/>
        <s v="9211 - COORDINATOR-MED OFF SRVC-PD II"/>
        <s v="9213 - COORDINATOR- MED OFF SRVC- II"/>
        <s v="9214 - COORDINATOR- MED OFF SRVC- III"/>
        <s v="9282 - PHARMACY TECHNICIAN II"/>
        <s v="5426 - DIETITIAN II"/>
        <s v="8974 - TECHNICIAN- HOSPITAL LAB- III"/>
        <s v="8993 - ASSISTANT- MEDICAL- I"/>
        <s v="9119 - CN II - PER DIEM"/>
        <s v="9383 - PSYCHOLOGIST II"/>
        <s v="6475 - AMBUL CARE PAT SUPV 2"/>
        <s v="8930 - TECHNICIAN- SURGICAL- SR"/>
        <s v="9306 - SOCIAL- WORKER- CLIN- LICENSED"/>
        <s v="4176 - AMBUL CARE ADMSTN CRD 2"/>
        <s v="6472 - AMBUL CARE ADMSTN MGR 1"/>
        <s v="8882 - MED OFC SVC CRD 3 LD"/>
        <s v="0777 - ASSISTANT DENTIST"/>
        <s v="4722 - _____ASSISTANT III"/>
        <s v="9196 - DENTAL ASST- REGISTERED"/>
        <s v="5421 - DIETITIAN- PD"/>
        <s v="5424 - DIETITIAN- SR"/>
        <s v="9219 - TECH-STERILE PROCESSING III"/>
        <s v="4173 - AMBUL CARE PAT SUPV 1"/>
        <s v="4608 - LVN SUPV 1"/>
        <s v="8928 - TECHNICIAN- ORTHOPEDIC- SR"/>
        <s v="NURS - Nursing Temp"/>
        <s v="4580 - HEALTH INFO MGT SUPV 2"/>
        <s v="7938 - PHYS THER 3 EX"/>
        <s v="6536 - SOCIAL WORK HC SUPV 2"/>
        <s v="8918 - NURSE- VOCATIONAL- PER DIEM"/>
        <s v="8975 - TECHNICIAN- HOSPITAL LAB- II"/>
        <s v="9148 - NURSE PRACTITIONER I"/>
        <s v="5820 - REHAB SVC SPEC 1"/>
        <s v="6601 - REHAB SVC SUPV 2"/>
        <s v="7866 - AUDIOLOGIST SR EX"/>
        <s v="4723 - _____ASSISTANT II"/>
        <s v="9247 - PHARMACIST- STAFF II"/>
        <s v="9281 - PHARMACY TECHNICIAN III"/>
        <s v="7961 - SPEECH PATHOLOGIST NEX"/>
        <s v="9023 - TECHNOLOGIST-RADIOLOGIC"/>
        <s v="9472 - PATHOLOGIST- SPEECH- SR"/>
        <m/>
      </sharedItems>
    </cacheField>
    <cacheField name="Job Code Cohort" numFmtId="0">
      <sharedItems containsBlank="1" count="8">
        <s v="SUPV / MGR"/>
        <s v="RN"/>
        <s v="DI"/>
        <s v="MA"/>
        <s v="MOSC"/>
        <s v="Other"/>
        <s v="Lab"/>
        <m/>
      </sharedItems>
    </cacheField>
    <cacheField name="FTE's" numFmtId="0">
      <sharedItems containsString="0" containsBlank="1" containsNumber="1" minValue="-0.09" maxValue="13.510000000000002" count="126">
        <n v="1"/>
        <n v="0.01"/>
        <n v="1.04"/>
        <n v="1.01"/>
        <n v="0.5"/>
        <n v="9.9999999999999992E-2"/>
        <n v="1.78"/>
        <n v="2.69"/>
        <n v="0.9"/>
        <n v="0.2"/>
        <n v="1.45"/>
        <n v="2.38"/>
        <n v="0.05"/>
        <n v="0.26"/>
        <n v="0.87"/>
        <n v="0.09"/>
        <n v="0.94"/>
        <n v="2.16"/>
        <n v="0.3"/>
        <n v="0.1"/>
        <n v="0.85"/>
        <n v="0.03"/>
        <n v="2"/>
        <n v="7.0000000000000007E-2"/>
        <n v="0.13"/>
        <n v="0.02"/>
        <n v="0.52"/>
        <n v="2.0700000000000003"/>
        <n v="0.6"/>
        <n v="6.2299999999999995"/>
        <n v="1.05"/>
        <n v="3.04"/>
        <n v="5.91"/>
        <n v="0.25"/>
        <n v="0.31"/>
        <n v="1.24"/>
        <n v="2.9"/>
        <n v="0.04"/>
        <n v="0.08"/>
        <n v="0.62"/>
        <n v="5.97"/>
        <n v="1.56"/>
        <n v="2.0199999999999996"/>
        <n v="7.16"/>
        <n v="10.84"/>
        <n v="0.91"/>
        <n v="0.22"/>
        <n v="-0.09"/>
        <n v="0.06"/>
        <n v="2.87"/>
        <n v="13.510000000000002"/>
        <n v="3.99"/>
        <n v="5.8000000000000007"/>
        <n v="0.8"/>
        <n v="1.08"/>
        <n v="0.83"/>
        <n v="1.1200000000000001"/>
        <n v="4.92"/>
        <n v="2.17"/>
        <n v="4.43"/>
        <n v="2.0099999999999998"/>
        <n v="3.01"/>
        <n v="7.23"/>
        <n v="2.8600000000000003"/>
        <n v="4.46"/>
        <n v="4.12"/>
        <n v="5.82"/>
        <n v="8.73"/>
        <n v="0.14000000000000001"/>
        <n v="1.02"/>
        <n v="1.0900000000000001"/>
        <n v="0.76"/>
        <n v="2.46"/>
        <n v="2.92"/>
        <n v="1.3"/>
        <n v="0.66"/>
        <n v="2.6"/>
        <n v="5"/>
        <n v="6.26"/>
        <n v="4.0199999999999996"/>
        <n v="6.35"/>
        <n v="0.93"/>
        <n v="1.77"/>
        <n v="0.99"/>
        <n v="0.72"/>
        <n v="4.7"/>
        <n v="8.6"/>
        <n v="0.4"/>
        <n v="5.54"/>
        <n v="0.77"/>
        <n v="0.34"/>
        <n v="4.78"/>
        <n v="0.74"/>
        <n v="3.25"/>
        <n v="0.78"/>
        <n v="3.58"/>
        <n v="3.7199999999999998"/>
        <n v="0.11"/>
        <n v="1.9100000000000001"/>
        <n v="4.51"/>
        <n v="1.03"/>
        <n v="4.7699999999999996"/>
        <n v="4.91"/>
        <n v="0.16"/>
        <n v="5.2"/>
        <n v="0.18"/>
        <n v="1.22"/>
        <n v="0.39"/>
        <n v="0.17"/>
        <n v="2.0300000000000002"/>
        <n v="6.58"/>
        <n v="0.12"/>
        <n v="0.38999999999999996"/>
        <n v="9.2200000000000006"/>
        <n v="0.56999999999999995"/>
        <n v="7.7"/>
        <n v="9.5999999999999979"/>
        <n v="7.6"/>
        <n v="0.46"/>
        <n v="0.96"/>
        <n v="3"/>
        <n v="0.57999999999999996"/>
        <n v="0.98"/>
        <n v="0.92"/>
        <n v="2.5499999999999998"/>
        <m/>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2">
  <r>
    <s v="384 VASCULAR CLINIC"/>
    <x v="0"/>
    <m/>
    <x v="0"/>
  </r>
  <r>
    <s v="384 VASCULAR CLINIC"/>
    <x v="1"/>
    <m/>
    <x v="1"/>
  </r>
  <r>
    <s v="384 VASCULAR CLINIC"/>
    <x v="2"/>
    <m/>
    <x v="2"/>
  </r>
  <r>
    <s v="384 VASCULAR CLINIC"/>
    <x v="3"/>
    <m/>
    <x v="3"/>
  </r>
  <r>
    <s v="384 VASCULAR CLINIC"/>
    <x v="4"/>
    <m/>
    <x v="4"/>
  </r>
  <r>
    <s v="384 VASCULAR CLINIC"/>
    <x v="5"/>
    <m/>
    <x v="5"/>
  </r>
  <r>
    <s v="384 VASCULAR CLINIC"/>
    <x v="6"/>
    <m/>
    <x v="6"/>
  </r>
  <r>
    <s v="384 VASCULAR CLINIC"/>
    <x v="7"/>
    <m/>
    <x v="7"/>
  </r>
  <r>
    <s v="384 VASCULAR CLINIC"/>
    <x v="8"/>
    <m/>
    <x v="8"/>
  </r>
  <r>
    <s v="384 VASCULAR CLINIC"/>
    <x v="9"/>
    <m/>
    <x v="3"/>
  </r>
  <r>
    <s v="384 VASCULAR CLINIC"/>
    <x v="10"/>
    <m/>
    <x v="9"/>
  </r>
  <r>
    <s v="384 VASCULAR CLINIC"/>
    <x v="11"/>
    <m/>
    <x v="10"/>
  </r>
  <r>
    <s v="384 VASCULAR CLINIC"/>
    <x v="12"/>
    <m/>
    <x v="11"/>
  </r>
  <r>
    <s v="384 VASCULAR CLINIC"/>
    <x v="13"/>
    <m/>
    <x v="12"/>
  </r>
  <r>
    <s v="391 CARDIAC REHABILITATION"/>
    <x v="14"/>
    <m/>
    <x v="4"/>
  </r>
  <r>
    <s v="392 CARDIAC REHABILITATION"/>
    <x v="2"/>
    <m/>
    <x v="13"/>
  </r>
  <r>
    <s v="393 CARDIAC REHABILITATION"/>
    <x v="15"/>
    <m/>
    <x v="14"/>
  </r>
  <r>
    <s v="394 CARDIAC REHABILITATION"/>
    <x v="16"/>
    <m/>
    <x v="15"/>
  </r>
  <r>
    <s v="395 CARDIAC REHABILITATION"/>
    <x v="17"/>
    <m/>
    <x v="1"/>
  </r>
  <r>
    <s v="396 CARDIAC REHABILITATION"/>
    <x v="7"/>
    <m/>
    <x v="16"/>
  </r>
  <r>
    <s v="397 CARDIAC REHABILITATION"/>
    <x v="8"/>
    <m/>
    <x v="17"/>
  </r>
  <r>
    <s v="398 CARDIAC REHABILITATION"/>
    <x v="12"/>
    <m/>
    <x v="3"/>
  </r>
  <r>
    <s v="399 CARDIAC REHABILITATION"/>
    <x v="18"/>
    <m/>
    <x v="18"/>
  </r>
  <r>
    <s v="394 ENT PROCEDURES"/>
    <x v="0"/>
    <m/>
    <x v="19"/>
  </r>
  <r>
    <s v="395 ENT PROCEDURES"/>
    <x v="2"/>
    <m/>
    <x v="19"/>
  </r>
  <r>
    <s v="396 ENT PROCEDURES"/>
    <x v="19"/>
    <m/>
    <x v="2"/>
  </r>
  <r>
    <s v="397 ENT PROCEDURES"/>
    <x v="20"/>
    <m/>
    <x v="20"/>
  </r>
  <r>
    <s v="398 ENT PROCEDURES"/>
    <x v="17"/>
    <m/>
    <x v="21"/>
  </r>
  <r>
    <s v="399 ENT PROCEDURES"/>
    <x v="8"/>
    <m/>
    <x v="22"/>
  </r>
  <r>
    <s v="400 ENT PROCEDURES"/>
    <x v="13"/>
    <m/>
    <x v="23"/>
  </r>
  <r>
    <s v="674 PAIN SERVICE CLINIC"/>
    <x v="0"/>
    <m/>
    <x v="24"/>
  </r>
  <r>
    <s v="675 PAIN SERVICE CLINIC"/>
    <x v="1"/>
    <m/>
    <x v="25"/>
  </r>
  <r>
    <s v="676 PAIN SERVICE CLINIC"/>
    <x v="2"/>
    <m/>
    <x v="26"/>
  </r>
  <r>
    <s v="677 PAIN SERVICE CLINIC"/>
    <x v="19"/>
    <m/>
    <x v="2"/>
  </r>
  <r>
    <s v="678 PAIN SERVICE CLINIC"/>
    <x v="5"/>
    <m/>
    <x v="13"/>
  </r>
  <r>
    <s v="679 PAIN SERVICE CLINIC"/>
    <x v="6"/>
    <m/>
    <x v="27"/>
  </r>
  <r>
    <s v="680 PAIN SERVICE CLINIC"/>
    <x v="7"/>
    <m/>
    <x v="28"/>
  </r>
  <r>
    <s v="681 PAIN SERVICE CLINIC"/>
    <x v="8"/>
    <m/>
    <x v="29"/>
  </r>
  <r>
    <s v="682 PAIN SERVICE CLINIC"/>
    <x v="9"/>
    <m/>
    <x v="3"/>
  </r>
  <r>
    <s v="683 PAIN SERVICE CLINIC"/>
    <x v="10"/>
    <m/>
    <x v="30"/>
  </r>
  <r>
    <s v="684 PAIN SERVICE CLINIC"/>
    <x v="11"/>
    <m/>
    <x v="31"/>
  </r>
  <r>
    <s v="685 PAIN SERVICE CLINIC"/>
    <x v="12"/>
    <m/>
    <x v="32"/>
  </r>
  <r>
    <s v="686 PAIN SERVICE CLINIC"/>
    <x v="13"/>
    <m/>
    <x v="12"/>
  </r>
  <r>
    <s v="687 PAIN SERVICE CLINIC"/>
    <x v="21"/>
    <m/>
    <x v="0"/>
  </r>
  <r>
    <s v="732 PM&amp;R-EMG LABORATORY"/>
    <x v="0"/>
    <m/>
    <x v="19"/>
  </r>
  <r>
    <s v="733 PM&amp;R-EMG LABORATORY"/>
    <x v="22"/>
    <m/>
    <x v="19"/>
  </r>
  <r>
    <s v="734 PM&amp;R-EMG LABORATORY"/>
    <x v="23"/>
    <m/>
    <x v="19"/>
  </r>
  <r>
    <s v="735 PM&amp;R-EMG LABORATORY"/>
    <x v="24"/>
    <m/>
    <x v="19"/>
  </r>
  <r>
    <s v="736 PM&amp;R-EMG LABORATORY"/>
    <x v="11"/>
    <m/>
    <x v="33"/>
  </r>
  <r>
    <s v="737 PM&amp;R-EMG LABORATORY"/>
    <x v="12"/>
    <m/>
    <x v="34"/>
  </r>
  <r>
    <s v="749 DENTAL CLINIC"/>
    <x v="25"/>
    <m/>
    <x v="35"/>
  </r>
  <r>
    <s v="750 DENTAL CLINIC"/>
    <x v="26"/>
    <m/>
    <x v="0"/>
  </r>
  <r>
    <s v="751 DENTAL CLINIC"/>
    <x v="27"/>
    <m/>
    <x v="0"/>
  </r>
  <r>
    <s v="750 OTOLARYNGOLOGY CLINIC"/>
    <x v="0"/>
    <m/>
    <x v="36"/>
  </r>
  <r>
    <s v="751 OTOLARYNGOLOGY CLINIC"/>
    <x v="28"/>
    <m/>
    <x v="37"/>
  </r>
  <r>
    <s v="752 OTOLARYNGOLOGY CLINIC"/>
    <x v="29"/>
    <m/>
    <x v="25"/>
  </r>
  <r>
    <s v="753 OTOLARYNGOLOGY CLINIC"/>
    <x v="1"/>
    <m/>
    <x v="38"/>
  </r>
  <r>
    <s v="754 OTOLARYNGOLOGY CLINIC"/>
    <x v="2"/>
    <m/>
    <x v="39"/>
  </r>
  <r>
    <s v="755 OTOLARYNGOLOGY CLINIC"/>
    <x v="3"/>
    <m/>
    <x v="40"/>
  </r>
  <r>
    <s v="756 OTOLARYNGOLOGY CLINIC"/>
    <x v="6"/>
    <m/>
    <x v="41"/>
  </r>
  <r>
    <s v="757 OTOLARYNGOLOGY CLINIC"/>
    <x v="17"/>
    <m/>
    <x v="4"/>
  </r>
  <r>
    <s v="758 OTOLARYNGOLOGY CLINIC"/>
    <x v="8"/>
    <m/>
    <x v="42"/>
  </r>
  <r>
    <s v="759 OTOLARYNGOLOGY CLINIC"/>
    <x v="11"/>
    <m/>
    <x v="43"/>
  </r>
  <r>
    <s v="760 OTOLARYNGOLOGY CLINIC"/>
    <x v="12"/>
    <m/>
    <x v="44"/>
  </r>
  <r>
    <s v="761 OTOLARYNGOLOGY CLINIC"/>
    <x v="30"/>
    <m/>
    <x v="45"/>
  </r>
  <r>
    <s v="752 FAMILY MEDICINE CLINIC"/>
    <x v="0"/>
    <m/>
    <x v="0"/>
  </r>
  <r>
    <s v="753 FAMILY MEDICINE CLINIC"/>
    <x v="31"/>
    <m/>
    <x v="0"/>
  </r>
  <r>
    <s v="754 FAMILY MEDICINE CLINIC"/>
    <x v="32"/>
    <m/>
    <x v="3"/>
  </r>
  <r>
    <s v="755 FAMILY MEDICINE CLINIC"/>
    <x v="28"/>
    <m/>
    <x v="46"/>
  </r>
  <r>
    <s v="756 FAMILY MEDICINE CLINIC"/>
    <x v="14"/>
    <m/>
    <x v="47"/>
  </r>
  <r>
    <s v="757 FAMILY MEDICINE CLINIC"/>
    <x v="1"/>
    <m/>
    <x v="48"/>
  </r>
  <r>
    <s v="758 FAMILY MEDICINE CLINIC"/>
    <x v="23"/>
    <m/>
    <x v="2"/>
  </r>
  <r>
    <s v="759 FAMILY MEDICINE CLINIC"/>
    <x v="3"/>
    <m/>
    <x v="49"/>
  </r>
  <r>
    <s v="760 FAMILY MEDICINE CLINIC"/>
    <x v="6"/>
    <m/>
    <x v="50"/>
  </r>
  <r>
    <s v="761 FAMILY MEDICINE CLINIC"/>
    <x v="11"/>
    <m/>
    <x v="51"/>
  </r>
  <r>
    <s v="762 FAMILY MEDICINE CLINIC"/>
    <x v="12"/>
    <m/>
    <x v="52"/>
  </r>
  <r>
    <s v="763 FAMILY MEDICINE CLINIC"/>
    <x v="13"/>
    <m/>
    <x v="12"/>
  </r>
  <r>
    <s v="757 ORTHOPEDICS CLINIC"/>
    <x v="0"/>
    <m/>
    <x v="28"/>
  </r>
  <r>
    <s v="758 ORTHOPEDICS CLINIC"/>
    <x v="22"/>
    <m/>
    <x v="53"/>
  </r>
  <r>
    <s v="759 ORTHOPEDICS CLINIC"/>
    <x v="32"/>
    <m/>
    <x v="54"/>
  </r>
  <r>
    <s v="760 ORTHOPEDICS CLINIC"/>
    <x v="1"/>
    <m/>
    <x v="48"/>
  </r>
  <r>
    <s v="761 ORTHOPEDICS CLINIC"/>
    <x v="23"/>
    <m/>
    <x v="39"/>
  </r>
  <r>
    <s v="762 ORTHOPEDICS CLINIC"/>
    <x v="2"/>
    <m/>
    <x v="55"/>
  </r>
  <r>
    <s v="763 ORTHOPEDICS CLINIC"/>
    <x v="24"/>
    <m/>
    <x v="56"/>
  </r>
  <r>
    <s v="764 ORTHOPEDICS CLINIC"/>
    <x v="3"/>
    <m/>
    <x v="57"/>
  </r>
  <r>
    <s v="765 ORTHOPEDICS CLINIC"/>
    <x v="33"/>
    <m/>
    <x v="58"/>
  </r>
  <r>
    <s v="766 ORTHOPEDICS CLINIC"/>
    <x v="6"/>
    <m/>
    <x v="59"/>
  </r>
  <r>
    <s v="767 ORTHOPEDICS CLINIC"/>
    <x v="7"/>
    <m/>
    <x v="60"/>
  </r>
  <r>
    <s v="768 ORTHOPEDICS CLINIC"/>
    <x v="8"/>
    <m/>
    <x v="60"/>
  </r>
  <r>
    <s v="769 ORTHOPEDICS CLINIC"/>
    <x v="11"/>
    <m/>
    <x v="61"/>
  </r>
  <r>
    <s v="770 ORTHOPEDICS CLINIC"/>
    <x v="12"/>
    <m/>
    <x v="62"/>
  </r>
  <r>
    <s v="771 ORTHOPEDICS CLINIC"/>
    <x v="34"/>
    <m/>
    <x v="56"/>
  </r>
  <r>
    <s v="758 ELLISON OB/GYN PRACTICE"/>
    <x v="0"/>
    <m/>
    <x v="0"/>
  </r>
  <r>
    <s v="759 ELLISON OB/GYN PRACTICE"/>
    <x v="31"/>
    <m/>
    <x v="0"/>
  </r>
  <r>
    <s v="760 ELLISON OB/GYN PRACTICE"/>
    <x v="22"/>
    <m/>
    <x v="4"/>
  </r>
  <r>
    <s v="761 ELLISON OB/GYN PRACTICE"/>
    <x v="35"/>
    <m/>
    <x v="0"/>
  </r>
  <r>
    <s v="762 ELLISON OB/GYN PRACTICE"/>
    <x v="28"/>
    <m/>
    <x v="1"/>
  </r>
  <r>
    <s v="763 ELLISON OB/GYN PRACTICE"/>
    <x v="14"/>
    <m/>
    <x v="9"/>
  </r>
  <r>
    <s v="764 ELLISON OB/GYN PRACTICE"/>
    <x v="23"/>
    <m/>
    <x v="26"/>
  </r>
  <r>
    <s v="765 ELLISON OB/GYN PRACTICE"/>
    <x v="2"/>
    <m/>
    <x v="26"/>
  </r>
  <r>
    <s v="766 ELLISON OB/GYN PRACTICE"/>
    <x v="3"/>
    <m/>
    <x v="63"/>
  </r>
  <r>
    <s v="767 ELLISON OB/GYN PRACTICE"/>
    <x v="6"/>
    <m/>
    <x v="64"/>
  </r>
  <r>
    <s v="768 ELLISON OB/GYN PRACTICE"/>
    <x v="8"/>
    <m/>
    <x v="65"/>
  </r>
  <r>
    <s v="769 ELLISON OB/GYN PRACTICE"/>
    <x v="11"/>
    <m/>
    <x v="66"/>
  </r>
  <r>
    <s v="770 ELLISON OB/GYN PRACTICE"/>
    <x v="12"/>
    <m/>
    <x v="67"/>
  </r>
  <r>
    <s v="771 ELLISON OB/GYN PRACTICE"/>
    <x v="21"/>
    <m/>
    <x v="14"/>
  </r>
  <r>
    <s v="760 PM&amp;R - CLINIC"/>
    <x v="0"/>
    <m/>
    <x v="18"/>
  </r>
  <r>
    <s v="761 PM&amp;R - CLINIC"/>
    <x v="22"/>
    <m/>
    <x v="19"/>
  </r>
  <r>
    <s v="762 PM&amp;R - CLINIC"/>
    <x v="14"/>
    <m/>
    <x v="68"/>
  </r>
  <r>
    <s v="763 PM&amp;R - CLINIC"/>
    <x v="1"/>
    <m/>
    <x v="1"/>
  </r>
  <r>
    <s v="764 PM&amp;R - CLINIC"/>
    <x v="23"/>
    <m/>
    <x v="34"/>
  </r>
  <r>
    <s v="765 PM&amp;R - CLINIC"/>
    <x v="2"/>
    <m/>
    <x v="19"/>
  </r>
  <r>
    <s v="766 PM&amp;R - CLINIC"/>
    <x v="36"/>
    <m/>
    <x v="1"/>
  </r>
  <r>
    <s v="767 PM&amp;R - CLINIC"/>
    <x v="24"/>
    <m/>
    <x v="53"/>
  </r>
  <r>
    <s v="768 PM&amp;R - CLINIC"/>
    <x v="3"/>
    <m/>
    <x v="69"/>
  </r>
  <r>
    <s v="769 PM&amp;R - CLINIC"/>
    <x v="6"/>
    <m/>
    <x v="54"/>
  </r>
  <r>
    <s v="770 PM&amp;R - CLINIC"/>
    <x v="7"/>
    <m/>
    <x v="70"/>
  </r>
  <r>
    <s v="771 PM&amp;R - CLINIC"/>
    <x v="11"/>
    <m/>
    <x v="71"/>
  </r>
  <r>
    <s v="772 PM&amp;R - CLINIC"/>
    <x v="12"/>
    <m/>
    <x v="72"/>
  </r>
  <r>
    <s v="773 PM&amp;R - CLINIC"/>
    <x v="21"/>
    <m/>
    <x v="53"/>
  </r>
  <r>
    <s v="764 PEDIATRIC AMBULATORY SERVICES"/>
    <x v="0"/>
    <m/>
    <x v="0"/>
  </r>
  <r>
    <s v="765 PEDIATRIC AMBULATORY SERVICES"/>
    <x v="29"/>
    <m/>
    <x v="13"/>
  </r>
  <r>
    <s v="766 PEDIATRIC AMBULATORY SERVICES"/>
    <x v="14"/>
    <m/>
    <x v="73"/>
  </r>
  <r>
    <s v="767 PEDIATRIC AMBULATORY SERVICES"/>
    <x v="1"/>
    <m/>
    <x v="23"/>
  </r>
  <r>
    <s v="768 PEDIATRIC AMBULATORY SERVICES"/>
    <x v="23"/>
    <m/>
    <x v="2"/>
  </r>
  <r>
    <s v="769 PEDIATRIC AMBULATORY SERVICES"/>
    <x v="2"/>
    <m/>
    <x v="2"/>
  </r>
  <r>
    <s v="770 PEDIATRIC AMBULATORY SERVICES"/>
    <x v="37"/>
    <m/>
    <x v="69"/>
  </r>
  <r>
    <s v="771 PEDIATRIC AMBULATORY SERVICES"/>
    <x v="3"/>
    <m/>
    <x v="74"/>
  </r>
  <r>
    <s v="772 PEDIATRIC AMBULATORY SERVICES"/>
    <x v="38"/>
    <m/>
    <x v="75"/>
  </r>
  <r>
    <s v="773 PEDIATRIC AMBULATORY SERVICES"/>
    <x v="16"/>
    <m/>
    <x v="76"/>
  </r>
  <r>
    <s v="774 PEDIATRIC AMBULATORY SERVICES"/>
    <x v="6"/>
    <m/>
    <x v="77"/>
  </r>
  <r>
    <s v="775 PEDIATRIC AMBULATORY SERVICES"/>
    <x v="17"/>
    <m/>
    <x v="15"/>
  </r>
  <r>
    <s v="776 PEDIATRIC AMBULATORY SERVICES"/>
    <x v="7"/>
    <m/>
    <x v="78"/>
  </r>
  <r>
    <s v="777 PEDIATRIC AMBULATORY SERVICES"/>
    <x v="8"/>
    <m/>
    <x v="79"/>
  </r>
  <r>
    <s v="778 PEDIATRIC AMBULATORY SERVICES"/>
    <x v="11"/>
    <m/>
    <x v="80"/>
  </r>
  <r>
    <s v="779 PEDIATRIC AMBULATORY SERVICES"/>
    <x v="12"/>
    <m/>
    <x v="32"/>
  </r>
  <r>
    <s v="780 PEDIATRIC AMBULATORY SERVICES"/>
    <x v="21"/>
    <m/>
    <x v="53"/>
  </r>
  <r>
    <s v="765 SURGERY CLINIC"/>
    <x v="0"/>
    <m/>
    <x v="0"/>
  </r>
  <r>
    <s v="766 SURGERY CLINIC"/>
    <x v="29"/>
    <m/>
    <x v="0"/>
  </r>
  <r>
    <s v="767 SURGERY CLINIC"/>
    <x v="14"/>
    <m/>
    <x v="0"/>
  </r>
  <r>
    <s v="768 SURGERY CLINIC"/>
    <x v="1"/>
    <m/>
    <x v="37"/>
  </r>
  <r>
    <s v="769 SURGERY CLINIC"/>
    <x v="23"/>
    <m/>
    <x v="81"/>
  </r>
  <r>
    <s v="770 SURGERY CLINIC"/>
    <x v="24"/>
    <m/>
    <x v="69"/>
  </r>
  <r>
    <s v="771 SURGERY CLINIC"/>
    <x v="3"/>
    <m/>
    <x v="82"/>
  </r>
  <r>
    <s v="772 SURGERY CLINIC"/>
    <x v="5"/>
    <m/>
    <x v="1"/>
  </r>
  <r>
    <s v="773 SURGERY CLINIC"/>
    <x v="6"/>
    <m/>
    <x v="83"/>
  </r>
  <r>
    <s v="774 SURGERY CLINIC"/>
    <x v="17"/>
    <m/>
    <x v="84"/>
  </r>
  <r>
    <s v="775 SURGERY CLINIC"/>
    <x v="7"/>
    <m/>
    <x v="69"/>
  </r>
  <r>
    <s v="776 SURGERY CLINIC"/>
    <x v="8"/>
    <m/>
    <x v="22"/>
  </r>
  <r>
    <s v="777 SURGERY CLINIC"/>
    <x v="10"/>
    <m/>
    <x v="15"/>
  </r>
  <r>
    <s v="778 SURGERY CLINIC"/>
    <x v="11"/>
    <m/>
    <x v="85"/>
  </r>
  <r>
    <s v="779 SURGERY CLINIC"/>
    <x v="12"/>
    <m/>
    <x v="86"/>
  </r>
  <r>
    <s v="780 SURGERY CLINIC"/>
    <x v="18"/>
    <m/>
    <x v="87"/>
  </r>
  <r>
    <s v="767 UROLOGY CLINIC"/>
    <x v="32"/>
    <m/>
    <x v="54"/>
  </r>
  <r>
    <s v="768 UROLOGY CLINIC"/>
    <x v="23"/>
    <m/>
    <x v="2"/>
  </r>
  <r>
    <s v="769 UROLOGY CLINIC"/>
    <x v="24"/>
    <m/>
    <x v="0"/>
  </r>
  <r>
    <s v="770 UROLOGY CLINIC"/>
    <x v="3"/>
    <m/>
    <x v="88"/>
  </r>
  <r>
    <s v="771 UROLOGY CLINIC"/>
    <x v="38"/>
    <m/>
    <x v="89"/>
  </r>
  <r>
    <s v="772 UROLOGY CLINIC"/>
    <x v="5"/>
    <m/>
    <x v="90"/>
  </r>
  <r>
    <s v="773 UROLOGY CLINIC"/>
    <x v="6"/>
    <m/>
    <x v="74"/>
  </r>
  <r>
    <s v="774 UROLOGY CLINIC"/>
    <x v="8"/>
    <m/>
    <x v="0"/>
  </r>
  <r>
    <s v="775 UROLOGY CLINIC"/>
    <x v="10"/>
    <m/>
    <x v="15"/>
  </r>
  <r>
    <s v="776 UROLOGY CLINIC"/>
    <x v="11"/>
    <m/>
    <x v="91"/>
  </r>
  <r>
    <s v="777 UROLOGY CLINIC"/>
    <x v="12"/>
    <m/>
    <x v="22"/>
  </r>
  <r>
    <s v="770 GLASSROCK OB/GYN PRACTICE"/>
    <x v="0"/>
    <m/>
    <x v="92"/>
  </r>
  <r>
    <s v="771 GLASSROCK OB/GYN PRACTICE"/>
    <x v="22"/>
    <m/>
    <x v="4"/>
  </r>
  <r>
    <s v="772 GLASSROCK OB/GYN PRACTICE"/>
    <x v="23"/>
    <m/>
    <x v="26"/>
  </r>
  <r>
    <s v="773 GLASSROCK OB/GYN PRACTICE"/>
    <x v="2"/>
    <m/>
    <x v="26"/>
  </r>
  <r>
    <s v="774 GLASSROCK OB/GYN PRACTICE"/>
    <x v="3"/>
    <m/>
    <x v="69"/>
  </r>
  <r>
    <s v="775 GLASSROCK OB/GYN PRACTICE"/>
    <x v="6"/>
    <m/>
    <x v="93"/>
  </r>
  <r>
    <s v="776 GLASSROCK OB/GYN PRACTICE"/>
    <x v="7"/>
    <m/>
    <x v="94"/>
  </r>
  <r>
    <s v="777 GLASSROCK OB/GYN PRACTICE"/>
    <x v="11"/>
    <m/>
    <x v="73"/>
  </r>
  <r>
    <s v="778 GLASSROCK OB/GYN PRACTICE"/>
    <x v="12"/>
    <m/>
    <x v="45"/>
  </r>
  <r>
    <s v="779 CARDIOLOGY OUTPATIENT SERVICES"/>
    <x v="0"/>
    <m/>
    <x v="0"/>
  </r>
  <r>
    <s v="780 CARDIOLOGY OUTPATIENT SERVICES"/>
    <x v="14"/>
    <m/>
    <x v="19"/>
  </r>
  <r>
    <s v="781 CARDIOLOGY OUTPATIENT SERVICES"/>
    <x v="1"/>
    <m/>
    <x v="12"/>
  </r>
  <r>
    <s v="782 CARDIOLOGY OUTPATIENT SERVICES"/>
    <x v="2"/>
    <m/>
    <x v="94"/>
  </r>
  <r>
    <s v="783 CARDIOLOGY OUTPATIENT SERVICES"/>
    <x v="3"/>
    <m/>
    <x v="45"/>
  </r>
  <r>
    <s v="784 CARDIOLOGY OUTPATIENT SERVICES"/>
    <x v="39"/>
    <m/>
    <x v="95"/>
  </r>
  <r>
    <s v="785 CARDIOLOGY OUTPATIENT SERVICES"/>
    <x v="5"/>
    <m/>
    <x v="1"/>
  </r>
  <r>
    <s v="786 CARDIOLOGY OUTPATIENT SERVICES"/>
    <x v="16"/>
    <m/>
    <x v="96"/>
  </r>
  <r>
    <s v="787 CARDIOLOGY OUTPATIENT SERVICES"/>
    <x v="6"/>
    <m/>
    <x v="97"/>
  </r>
  <r>
    <s v="788 CARDIOLOGY OUTPATIENT SERVICES"/>
    <x v="17"/>
    <m/>
    <x v="15"/>
  </r>
  <r>
    <s v="789 CARDIOLOGY OUTPATIENT SERVICES"/>
    <x v="7"/>
    <m/>
    <x v="98"/>
  </r>
  <r>
    <s v="790 CARDIOLOGY OUTPATIENT SERVICES"/>
    <x v="8"/>
    <m/>
    <x v="99"/>
  </r>
  <r>
    <s v="791 CARDIOLOGY OUTPATIENT SERVICES"/>
    <x v="9"/>
    <m/>
    <x v="71"/>
  </r>
  <r>
    <s v="792 CARDIOLOGY OUTPATIENT SERVICES"/>
    <x v="40"/>
    <m/>
    <x v="100"/>
  </r>
  <r>
    <s v="793 CARDIOLOGY OUTPATIENT SERVICES"/>
    <x v="11"/>
    <m/>
    <x v="101"/>
  </r>
  <r>
    <s v="794 CARDIOLOGY OUTPATIENT SERVICES"/>
    <x v="12"/>
    <m/>
    <x v="102"/>
  </r>
  <r>
    <s v="784 ENT-AUDIOLOGY"/>
    <x v="41"/>
    <m/>
    <x v="22"/>
  </r>
  <r>
    <s v="785 ENT-AUDIOLOGY"/>
    <x v="2"/>
    <m/>
    <x v="103"/>
  </r>
  <r>
    <s v="786 ENT-AUDIOLOGY"/>
    <x v="42"/>
    <m/>
    <x v="2"/>
  </r>
  <r>
    <s v="787 ENT-AUDIOLOGY"/>
    <x v="43"/>
    <m/>
    <x v="104"/>
  </r>
  <r>
    <s v="788 ENT-AUDIOLOGY"/>
    <x v="39"/>
    <m/>
    <x v="0"/>
  </r>
  <r>
    <s v="789 ENT-AUDIOLOGY"/>
    <x v="6"/>
    <m/>
    <x v="105"/>
  </r>
  <r>
    <s v="790 ENT-AUDIOLOGY"/>
    <x v="12"/>
    <m/>
    <x v="106"/>
  </r>
  <r>
    <s v="786 INTERNAL MEDICINE CLINICS"/>
    <x v="0"/>
    <m/>
    <x v="0"/>
  </r>
  <r>
    <s v="787 INTERNAL MEDICINE CLINICS"/>
    <x v="44"/>
    <m/>
    <x v="0"/>
  </r>
  <r>
    <s v="788 INTERNAL MEDICINE CLINICS"/>
    <x v="28"/>
    <m/>
    <x v="48"/>
  </r>
  <r>
    <s v="789 INTERNAL MEDICINE CLINICS"/>
    <x v="29"/>
    <m/>
    <x v="22"/>
  </r>
  <r>
    <s v="790 INTERNAL MEDICINE CLINICS"/>
    <x v="14"/>
    <m/>
    <x v="107"/>
  </r>
  <r>
    <s v="791 INTERNAL MEDICINE CLINICS"/>
    <x v="1"/>
    <m/>
    <x v="108"/>
  </r>
  <r>
    <s v="792 INTERNAL MEDICINE CLINICS"/>
    <x v="23"/>
    <m/>
    <x v="2"/>
  </r>
  <r>
    <s v="793 INTERNAL MEDICINE CLINICS"/>
    <x v="19"/>
    <m/>
    <x v="2"/>
  </r>
  <r>
    <s v="794 INTERNAL MEDICINE CLINICS"/>
    <x v="24"/>
    <m/>
    <x v="109"/>
  </r>
  <r>
    <s v="795 INTERNAL MEDICINE CLINICS"/>
    <x v="3"/>
    <m/>
    <x v="110"/>
  </r>
  <r>
    <s v="796 INTERNAL MEDICINE CLINICS"/>
    <x v="38"/>
    <m/>
    <x v="111"/>
  </r>
  <r>
    <s v="797 INTERNAL MEDICINE CLINICS"/>
    <x v="5"/>
    <m/>
    <x v="112"/>
  </r>
  <r>
    <s v="798 INTERNAL MEDICINE CLINICS"/>
    <x v="16"/>
    <m/>
    <x v="1"/>
  </r>
  <r>
    <s v="799 INTERNAL MEDICINE CLINICS"/>
    <x v="6"/>
    <m/>
    <x v="113"/>
  </r>
  <r>
    <s v="800 INTERNAL MEDICINE CLINICS"/>
    <x v="17"/>
    <m/>
    <x v="114"/>
  </r>
  <r>
    <s v="801 INTERNAL MEDICINE CLINICS"/>
    <x v="7"/>
    <m/>
    <x v="55"/>
  </r>
  <r>
    <s v="802 INTERNAL MEDICINE CLINICS"/>
    <x v="8"/>
    <m/>
    <x v="115"/>
  </r>
  <r>
    <s v="803 INTERNAL MEDICINE CLINICS"/>
    <x v="11"/>
    <m/>
    <x v="116"/>
  </r>
  <r>
    <s v="804 INTERNAL MEDICINE CLINICS"/>
    <x v="12"/>
    <m/>
    <x v="117"/>
  </r>
  <r>
    <s v="805 INTERNAL MEDICINE CLINICS"/>
    <x v="45"/>
    <m/>
    <x v="118"/>
  </r>
  <r>
    <s v="806 INTERNAL MEDICINE CLINICS"/>
    <x v="46"/>
    <m/>
    <x v="119"/>
  </r>
  <r>
    <s v="807 INTERNAL MEDICINE CLINICS"/>
    <x v="21"/>
    <m/>
    <x v="0"/>
  </r>
  <r>
    <s v="787 ENT-SPEECH"/>
    <x v="2"/>
    <m/>
    <x v="103"/>
  </r>
  <r>
    <s v="788 ENT-SPEECH"/>
    <x v="42"/>
    <m/>
    <x v="2"/>
  </r>
  <r>
    <s v="789 ENT-SPEECH"/>
    <x v="47"/>
    <m/>
    <x v="120"/>
  </r>
  <r>
    <s v="790 ENT-SPEECH"/>
    <x v="6"/>
    <m/>
    <x v="15"/>
  </r>
  <r>
    <s v="791 ENT-SPEECH"/>
    <x v="48"/>
    <m/>
    <x v="16"/>
  </r>
  <r>
    <s v="792 ENT-SPEECH"/>
    <x v="12"/>
    <m/>
    <x v="121"/>
  </r>
  <r>
    <s v="793 ENT-SPEECH"/>
    <x v="49"/>
    <m/>
    <x v="0"/>
  </r>
  <r>
    <s v="789 PLASTIC SURGERY CLINIC - C ST."/>
    <x v="0"/>
    <m/>
    <x v="0"/>
  </r>
  <r>
    <s v="790 PLASTIC SURGERY CLINIC - C ST."/>
    <x v="23"/>
    <m/>
    <x v="19"/>
  </r>
  <r>
    <s v="791 PLASTIC SURGERY CLINIC - C ST."/>
    <x v="3"/>
    <m/>
    <x v="122"/>
  </r>
  <r>
    <s v="792 PLASTIC SURGERY CLINIC - C ST."/>
    <x v="6"/>
    <m/>
    <x v="122"/>
  </r>
  <r>
    <s v="793 PLASTIC SURGERY CLINIC - C ST."/>
    <x v="11"/>
    <m/>
    <x v="123"/>
  </r>
  <r>
    <s v="794 PLASTIC SURGERY CLINIC - C ST."/>
    <x v="12"/>
    <m/>
    <x v="124"/>
  </r>
  <r>
    <m/>
    <x v="50"/>
    <m/>
    <x v="12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1">
  <r>
    <s v="384 VASCULAR CLINIC"/>
    <x v="0"/>
    <x v="0"/>
    <x v="0"/>
    <n v="1"/>
  </r>
  <r>
    <s v="384 VASCULAR CLINIC"/>
    <x v="0"/>
    <x v="1"/>
    <x v="0"/>
    <n v="0.01"/>
  </r>
  <r>
    <s v="384 VASCULAR CLINIC"/>
    <x v="0"/>
    <x v="2"/>
    <x v="0"/>
    <n v="1.04"/>
  </r>
  <r>
    <s v="384 VASCULAR CLINIC"/>
    <x v="0"/>
    <x v="3"/>
    <x v="1"/>
    <n v="1.01"/>
  </r>
  <r>
    <s v="384 VASCULAR CLINIC"/>
    <x v="0"/>
    <x v="4"/>
    <x v="2"/>
    <n v="0.5"/>
  </r>
  <r>
    <s v="384 VASCULAR CLINIC"/>
    <x v="0"/>
    <x v="5"/>
    <x v="3"/>
    <n v="9.9999999999999992E-2"/>
  </r>
  <r>
    <s v="384 VASCULAR CLINIC"/>
    <x v="0"/>
    <x v="6"/>
    <x v="3"/>
    <n v="1.78"/>
  </r>
  <r>
    <s v="384 VASCULAR CLINIC"/>
    <x v="0"/>
    <x v="7"/>
    <x v="1"/>
    <n v="2.69"/>
  </r>
  <r>
    <s v="384 VASCULAR CLINIC"/>
    <x v="0"/>
    <x v="8"/>
    <x v="1"/>
    <n v="0.9"/>
  </r>
  <r>
    <s v="384 VASCULAR CLINIC"/>
    <x v="0"/>
    <x v="9"/>
    <x v="1"/>
    <n v="1.01"/>
  </r>
  <r>
    <s v="384 VASCULAR CLINIC"/>
    <x v="0"/>
    <x v="10"/>
    <x v="4"/>
    <n v="0.2"/>
  </r>
  <r>
    <s v="384 VASCULAR CLINIC"/>
    <x v="0"/>
    <x v="11"/>
    <x v="4"/>
    <n v="1.45"/>
  </r>
  <r>
    <s v="384 VASCULAR CLINIC"/>
    <x v="0"/>
    <x v="12"/>
    <x v="4"/>
    <n v="2.38"/>
  </r>
  <r>
    <s v="384 VASCULAR CLINIC"/>
    <x v="0"/>
    <x v="13"/>
    <x v="5"/>
    <n v="0.05"/>
  </r>
  <r>
    <s v="391 CARDIAC REHABILITATION"/>
    <x v="1"/>
    <x v="14"/>
    <x v="5"/>
    <n v="0.5"/>
  </r>
  <r>
    <s v="392 CARDIAC REHABILITATION"/>
    <x v="1"/>
    <x v="2"/>
    <x v="0"/>
    <n v="0.26"/>
  </r>
  <r>
    <s v="393 CARDIAC REHABILITATION"/>
    <x v="1"/>
    <x v="15"/>
    <x v="6"/>
    <n v="0.87"/>
  </r>
  <r>
    <s v="394 CARDIAC REHABILITATION"/>
    <x v="1"/>
    <x v="16"/>
    <x v="3"/>
    <n v="0.09"/>
  </r>
  <r>
    <s v="395 CARDIAC REHABILITATION"/>
    <x v="1"/>
    <x v="17"/>
    <x v="1"/>
    <n v="0.01"/>
  </r>
  <r>
    <s v="396 CARDIAC REHABILITATION"/>
    <x v="1"/>
    <x v="7"/>
    <x v="1"/>
    <n v="0.94"/>
  </r>
  <r>
    <s v="397 CARDIAC REHABILITATION"/>
    <x v="1"/>
    <x v="8"/>
    <x v="1"/>
    <n v="2.16"/>
  </r>
  <r>
    <s v="398 CARDIAC REHABILITATION"/>
    <x v="1"/>
    <x v="12"/>
    <x v="4"/>
    <n v="1.01"/>
  </r>
  <r>
    <s v="399 CARDIAC REHABILITATION"/>
    <x v="1"/>
    <x v="18"/>
    <x v="5"/>
    <n v="0.3"/>
  </r>
  <r>
    <s v="394 ENT PROCEDURES"/>
    <x v="2"/>
    <x v="0"/>
    <x v="0"/>
    <n v="0.1"/>
  </r>
  <r>
    <s v="395 ENT PROCEDURES"/>
    <x v="2"/>
    <x v="2"/>
    <x v="0"/>
    <n v="0.1"/>
  </r>
  <r>
    <s v="396 ENT PROCEDURES"/>
    <x v="2"/>
    <x v="19"/>
    <x v="0"/>
    <n v="1.04"/>
  </r>
  <r>
    <s v="397 ENT PROCEDURES"/>
    <x v="2"/>
    <x v="20"/>
    <x v="3"/>
    <n v="0.85"/>
  </r>
  <r>
    <s v="398 ENT PROCEDURES"/>
    <x v="2"/>
    <x v="17"/>
    <x v="1"/>
    <n v="0.03"/>
  </r>
  <r>
    <s v="399 ENT PROCEDURES"/>
    <x v="2"/>
    <x v="8"/>
    <x v="1"/>
    <n v="2"/>
  </r>
  <r>
    <s v="400 ENT PROCEDURES"/>
    <x v="2"/>
    <x v="13"/>
    <x v="5"/>
    <n v="7.0000000000000007E-2"/>
  </r>
  <r>
    <s v="674 PAIN SERVICE CLINIC"/>
    <x v="3"/>
    <x v="0"/>
    <x v="0"/>
    <n v="0.13"/>
  </r>
  <r>
    <s v="675 PAIN SERVICE CLINIC"/>
    <x v="3"/>
    <x v="1"/>
    <x v="0"/>
    <n v="0.02"/>
  </r>
  <r>
    <s v="676 PAIN SERVICE CLINIC"/>
    <x v="3"/>
    <x v="2"/>
    <x v="0"/>
    <n v="0.52"/>
  </r>
  <r>
    <s v="677 PAIN SERVICE CLINIC"/>
    <x v="3"/>
    <x v="19"/>
    <x v="0"/>
    <n v="1.04"/>
  </r>
  <r>
    <s v="678 PAIN SERVICE CLINIC"/>
    <x v="3"/>
    <x v="5"/>
    <x v="3"/>
    <n v="0.26"/>
  </r>
  <r>
    <s v="679 PAIN SERVICE CLINIC"/>
    <x v="3"/>
    <x v="6"/>
    <x v="3"/>
    <n v="2.0700000000000003"/>
  </r>
  <r>
    <s v="680 PAIN SERVICE CLINIC"/>
    <x v="3"/>
    <x v="7"/>
    <x v="1"/>
    <n v="0.6"/>
  </r>
  <r>
    <s v="681 PAIN SERVICE CLINIC"/>
    <x v="3"/>
    <x v="8"/>
    <x v="1"/>
    <n v="6.2299999999999995"/>
  </r>
  <r>
    <s v="682 PAIN SERVICE CLINIC"/>
    <x v="3"/>
    <x v="9"/>
    <x v="1"/>
    <n v="1.01"/>
  </r>
  <r>
    <s v="683 PAIN SERVICE CLINIC"/>
    <x v="3"/>
    <x v="10"/>
    <x v="4"/>
    <n v="1.05"/>
  </r>
  <r>
    <s v="684 PAIN SERVICE CLINIC"/>
    <x v="3"/>
    <x v="11"/>
    <x v="4"/>
    <n v="3.04"/>
  </r>
  <r>
    <s v="685 PAIN SERVICE CLINIC"/>
    <x v="3"/>
    <x v="12"/>
    <x v="4"/>
    <n v="5.91"/>
  </r>
  <r>
    <s v="686 PAIN SERVICE CLINIC"/>
    <x v="3"/>
    <x v="13"/>
    <x v="5"/>
    <n v="0.05"/>
  </r>
  <r>
    <s v="687 PAIN SERVICE CLINIC"/>
    <x v="3"/>
    <x v="21"/>
    <x v="5"/>
    <n v="1"/>
  </r>
  <r>
    <s v="732 PM&amp;R-EMG LABORATORY"/>
    <x v="4"/>
    <x v="0"/>
    <x v="0"/>
    <n v="0.1"/>
  </r>
  <r>
    <s v="733 PM&amp;R-EMG LABORATORY"/>
    <x v="4"/>
    <x v="22"/>
    <x v="0"/>
    <n v="0.1"/>
  </r>
  <r>
    <s v="734 PM&amp;R-EMG LABORATORY"/>
    <x v="4"/>
    <x v="23"/>
    <x v="0"/>
    <n v="0.1"/>
  </r>
  <r>
    <s v="735 PM&amp;R-EMG LABORATORY"/>
    <x v="4"/>
    <x v="24"/>
    <x v="5"/>
    <n v="0.1"/>
  </r>
  <r>
    <s v="736 PM&amp;R-EMG LABORATORY"/>
    <x v="4"/>
    <x v="11"/>
    <x v="4"/>
    <n v="0.25"/>
  </r>
  <r>
    <s v="737 PM&amp;R-EMG LABORATORY"/>
    <x v="4"/>
    <x v="12"/>
    <x v="4"/>
    <n v="0.31"/>
  </r>
  <r>
    <s v="749 DENTAL CLINIC"/>
    <x v="5"/>
    <x v="25"/>
    <x v="3"/>
    <n v="1.24"/>
  </r>
  <r>
    <s v="750 DENTAL CLINIC"/>
    <x v="5"/>
    <x v="26"/>
    <x v="3"/>
    <n v="1"/>
  </r>
  <r>
    <s v="751 DENTAL CLINIC"/>
    <x v="5"/>
    <x v="27"/>
    <x v="3"/>
    <n v="1"/>
  </r>
  <r>
    <s v="750 OTOLARYNGOLOGY CLINIC"/>
    <x v="2"/>
    <x v="0"/>
    <x v="0"/>
    <n v="2.9"/>
  </r>
  <r>
    <s v="751 OTOLARYNGOLOGY CLINIC"/>
    <x v="2"/>
    <x v="28"/>
    <x v="5"/>
    <n v="0.04"/>
  </r>
  <r>
    <s v="752 OTOLARYNGOLOGY CLINIC"/>
    <x v="2"/>
    <x v="29"/>
    <x v="5"/>
    <n v="0.02"/>
  </r>
  <r>
    <s v="753 OTOLARYNGOLOGY CLINIC"/>
    <x v="2"/>
    <x v="1"/>
    <x v="0"/>
    <n v="0.08"/>
  </r>
  <r>
    <s v="754 OTOLARYNGOLOGY CLINIC"/>
    <x v="2"/>
    <x v="2"/>
    <x v="0"/>
    <n v="0.62"/>
  </r>
  <r>
    <s v="755 OTOLARYNGOLOGY CLINIC"/>
    <x v="2"/>
    <x v="3"/>
    <x v="1"/>
    <n v="5.97"/>
  </r>
  <r>
    <s v="756 OTOLARYNGOLOGY CLINIC"/>
    <x v="2"/>
    <x v="6"/>
    <x v="3"/>
    <n v="1.56"/>
  </r>
  <r>
    <s v="757 OTOLARYNGOLOGY CLINIC"/>
    <x v="2"/>
    <x v="17"/>
    <x v="1"/>
    <n v="0.5"/>
  </r>
  <r>
    <s v="758 OTOLARYNGOLOGY CLINIC"/>
    <x v="2"/>
    <x v="8"/>
    <x v="1"/>
    <n v="2.0199999999999996"/>
  </r>
  <r>
    <s v="759 OTOLARYNGOLOGY CLINIC"/>
    <x v="2"/>
    <x v="11"/>
    <x v="4"/>
    <n v="7.16"/>
  </r>
  <r>
    <s v="760 OTOLARYNGOLOGY CLINIC"/>
    <x v="2"/>
    <x v="12"/>
    <x v="4"/>
    <n v="10.84"/>
  </r>
  <r>
    <s v="761 OTOLARYNGOLOGY CLINIC"/>
    <x v="2"/>
    <x v="30"/>
    <x v="5"/>
    <n v="0.91"/>
  </r>
  <r>
    <s v="752 FAMILY MEDICINE CLINIC"/>
    <x v="6"/>
    <x v="0"/>
    <x v="0"/>
    <n v="1"/>
  </r>
  <r>
    <s v="753 FAMILY MEDICINE CLINIC"/>
    <x v="6"/>
    <x v="31"/>
    <x v="0"/>
    <n v="1"/>
  </r>
  <r>
    <s v="754 FAMILY MEDICINE CLINIC"/>
    <x v="6"/>
    <x v="32"/>
    <x v="0"/>
    <n v="1.01"/>
  </r>
  <r>
    <s v="755 FAMILY MEDICINE CLINIC"/>
    <x v="6"/>
    <x v="28"/>
    <x v="5"/>
    <n v="0.22"/>
  </r>
  <r>
    <s v="756 FAMILY MEDICINE CLINIC"/>
    <x v="6"/>
    <x v="14"/>
    <x v="5"/>
    <n v="-0.09"/>
  </r>
  <r>
    <s v="757 FAMILY MEDICINE CLINIC"/>
    <x v="6"/>
    <x v="1"/>
    <x v="0"/>
    <n v="0.06"/>
  </r>
  <r>
    <s v="758 FAMILY MEDICINE CLINIC"/>
    <x v="6"/>
    <x v="23"/>
    <x v="0"/>
    <n v="1.04"/>
  </r>
  <r>
    <s v="759 FAMILY MEDICINE CLINIC"/>
    <x v="6"/>
    <x v="3"/>
    <x v="1"/>
    <n v="2.87"/>
  </r>
  <r>
    <s v="760 FAMILY MEDICINE CLINIC"/>
    <x v="6"/>
    <x v="6"/>
    <x v="3"/>
    <n v="13.510000000000002"/>
  </r>
  <r>
    <s v="761 FAMILY MEDICINE CLINIC"/>
    <x v="6"/>
    <x v="11"/>
    <x v="4"/>
    <n v="3.99"/>
  </r>
  <r>
    <s v="762 FAMILY MEDICINE CLINIC"/>
    <x v="6"/>
    <x v="12"/>
    <x v="4"/>
    <n v="5.8000000000000007"/>
  </r>
  <r>
    <s v="763 FAMILY MEDICINE CLINIC"/>
    <x v="6"/>
    <x v="13"/>
    <x v="5"/>
    <n v="0.05"/>
  </r>
  <r>
    <s v="757 ORTHOPEDICS CLINIC"/>
    <x v="7"/>
    <x v="0"/>
    <x v="0"/>
    <n v="0.6"/>
  </r>
  <r>
    <s v="758 ORTHOPEDICS CLINIC"/>
    <x v="7"/>
    <x v="22"/>
    <x v="0"/>
    <n v="0.8"/>
  </r>
  <r>
    <s v="759 ORTHOPEDICS CLINIC"/>
    <x v="7"/>
    <x v="32"/>
    <x v="0"/>
    <n v="1.08"/>
  </r>
  <r>
    <s v="760 ORTHOPEDICS CLINIC"/>
    <x v="7"/>
    <x v="1"/>
    <x v="0"/>
    <n v="0.06"/>
  </r>
  <r>
    <s v="761 ORTHOPEDICS CLINIC"/>
    <x v="7"/>
    <x v="23"/>
    <x v="0"/>
    <n v="0.62"/>
  </r>
  <r>
    <s v="762 ORTHOPEDICS CLINIC"/>
    <x v="7"/>
    <x v="2"/>
    <x v="0"/>
    <n v="0.83"/>
  </r>
  <r>
    <s v="763 ORTHOPEDICS CLINIC"/>
    <x v="7"/>
    <x v="24"/>
    <x v="5"/>
    <n v="1.1200000000000001"/>
  </r>
  <r>
    <s v="764 ORTHOPEDICS CLINIC"/>
    <x v="7"/>
    <x v="3"/>
    <x v="1"/>
    <n v="4.92"/>
  </r>
  <r>
    <s v="765 ORTHOPEDICS CLINIC"/>
    <x v="7"/>
    <x v="33"/>
    <x v="3"/>
    <n v="2.17"/>
  </r>
  <r>
    <s v="766 ORTHOPEDICS CLINIC"/>
    <x v="7"/>
    <x v="6"/>
    <x v="3"/>
    <n v="4.43"/>
  </r>
  <r>
    <s v="767 ORTHOPEDICS CLINIC"/>
    <x v="7"/>
    <x v="7"/>
    <x v="1"/>
    <n v="2.0099999999999998"/>
  </r>
  <r>
    <s v="768 ORTHOPEDICS CLINIC"/>
    <x v="7"/>
    <x v="8"/>
    <x v="1"/>
    <n v="2.0099999999999998"/>
  </r>
  <r>
    <s v="769 ORTHOPEDICS CLINIC"/>
    <x v="7"/>
    <x v="11"/>
    <x v="4"/>
    <n v="3.01"/>
  </r>
  <r>
    <s v="770 ORTHOPEDICS CLINIC"/>
    <x v="7"/>
    <x v="12"/>
    <x v="4"/>
    <n v="7.23"/>
  </r>
  <r>
    <s v="771 ORTHOPEDICS CLINIC"/>
    <x v="7"/>
    <x v="34"/>
    <x v="1"/>
    <n v="1.1200000000000001"/>
  </r>
  <r>
    <s v="758 ELLISON OB/GYN PRACTICE"/>
    <x v="8"/>
    <x v="0"/>
    <x v="0"/>
    <n v="1"/>
  </r>
  <r>
    <s v="759 ELLISON OB/GYN PRACTICE"/>
    <x v="8"/>
    <x v="31"/>
    <x v="0"/>
    <n v="1"/>
  </r>
  <r>
    <s v="760 ELLISON OB/GYN PRACTICE"/>
    <x v="8"/>
    <x v="22"/>
    <x v="0"/>
    <n v="0.5"/>
  </r>
  <r>
    <s v="761 ELLISON OB/GYN PRACTICE"/>
    <x v="8"/>
    <x v="35"/>
    <x v="0"/>
    <n v="1"/>
  </r>
  <r>
    <s v="762 ELLISON OB/GYN PRACTICE"/>
    <x v="8"/>
    <x v="28"/>
    <x v="5"/>
    <n v="0.01"/>
  </r>
  <r>
    <s v="763 ELLISON OB/GYN PRACTICE"/>
    <x v="8"/>
    <x v="14"/>
    <x v="5"/>
    <n v="0.2"/>
  </r>
  <r>
    <s v="764 ELLISON OB/GYN PRACTICE"/>
    <x v="8"/>
    <x v="23"/>
    <x v="0"/>
    <n v="0.52"/>
  </r>
  <r>
    <s v="765 ELLISON OB/GYN PRACTICE"/>
    <x v="8"/>
    <x v="2"/>
    <x v="0"/>
    <n v="0.52"/>
  </r>
  <r>
    <s v="766 ELLISON OB/GYN PRACTICE"/>
    <x v="8"/>
    <x v="3"/>
    <x v="1"/>
    <n v="2.8600000000000003"/>
  </r>
  <r>
    <s v="767 ELLISON OB/GYN PRACTICE"/>
    <x v="8"/>
    <x v="6"/>
    <x v="3"/>
    <n v="4.46"/>
  </r>
  <r>
    <s v="768 ELLISON OB/GYN PRACTICE"/>
    <x v="8"/>
    <x v="8"/>
    <x v="1"/>
    <n v="4.12"/>
  </r>
  <r>
    <s v="769 ELLISON OB/GYN PRACTICE"/>
    <x v="8"/>
    <x v="11"/>
    <x v="4"/>
    <n v="5.82"/>
  </r>
  <r>
    <s v="770 ELLISON OB/GYN PRACTICE"/>
    <x v="8"/>
    <x v="12"/>
    <x v="4"/>
    <n v="8.73"/>
  </r>
  <r>
    <s v="771 ELLISON OB/GYN PRACTICE"/>
    <x v="8"/>
    <x v="21"/>
    <x v="5"/>
    <n v="0.87"/>
  </r>
  <r>
    <s v="760 PM&amp;R - CLINIC"/>
    <x v="9"/>
    <x v="0"/>
    <x v="0"/>
    <n v="0.3"/>
  </r>
  <r>
    <s v="761 PM&amp;R - CLINIC"/>
    <x v="9"/>
    <x v="22"/>
    <x v="0"/>
    <n v="0.1"/>
  </r>
  <r>
    <s v="762 PM&amp;R - CLINIC"/>
    <x v="9"/>
    <x v="14"/>
    <x v="5"/>
    <n v="0.14000000000000001"/>
  </r>
  <r>
    <s v="763 PM&amp;R - CLINIC"/>
    <x v="9"/>
    <x v="1"/>
    <x v="0"/>
    <n v="0.01"/>
  </r>
  <r>
    <s v="764 PM&amp;R - CLINIC"/>
    <x v="9"/>
    <x v="23"/>
    <x v="0"/>
    <n v="0.31"/>
  </r>
  <r>
    <s v="765 PM&amp;R - CLINIC"/>
    <x v="9"/>
    <x v="2"/>
    <x v="0"/>
    <n v="0.1"/>
  </r>
  <r>
    <s v="766 PM&amp;R - CLINIC"/>
    <x v="9"/>
    <x v="36"/>
    <x v="5"/>
    <n v="0.01"/>
  </r>
  <r>
    <s v="767 PM&amp;R - CLINIC"/>
    <x v="9"/>
    <x v="24"/>
    <x v="5"/>
    <n v="0.8"/>
  </r>
  <r>
    <s v="768 PM&amp;R - CLINIC"/>
    <x v="9"/>
    <x v="3"/>
    <x v="1"/>
    <n v="1.02"/>
  </r>
  <r>
    <s v="769 PM&amp;R - CLINIC"/>
    <x v="9"/>
    <x v="6"/>
    <x v="3"/>
    <n v="1.08"/>
  </r>
  <r>
    <s v="770 PM&amp;R - CLINIC"/>
    <x v="9"/>
    <x v="7"/>
    <x v="1"/>
    <n v="1.0900000000000001"/>
  </r>
  <r>
    <s v="771 PM&amp;R - CLINIC"/>
    <x v="9"/>
    <x v="11"/>
    <x v="4"/>
    <n v="0.76"/>
  </r>
  <r>
    <s v="772 PM&amp;R - CLINIC"/>
    <x v="9"/>
    <x v="12"/>
    <x v="4"/>
    <n v="2.46"/>
  </r>
  <r>
    <s v="773 PM&amp;R - CLINIC"/>
    <x v="9"/>
    <x v="21"/>
    <x v="5"/>
    <n v="0.8"/>
  </r>
  <r>
    <s v="764 PEDIATRIC AMBULATORY SERVICES"/>
    <x v="10"/>
    <x v="0"/>
    <x v="0"/>
    <n v="1"/>
  </r>
  <r>
    <s v="765 PEDIATRIC AMBULATORY SERVICES"/>
    <x v="10"/>
    <x v="29"/>
    <x v="5"/>
    <n v="0.26"/>
  </r>
  <r>
    <s v="766 PEDIATRIC AMBULATORY SERVICES"/>
    <x v="10"/>
    <x v="14"/>
    <x v="5"/>
    <n v="2.92"/>
  </r>
  <r>
    <s v="767 PEDIATRIC AMBULATORY SERVICES"/>
    <x v="10"/>
    <x v="1"/>
    <x v="0"/>
    <n v="7.0000000000000007E-2"/>
  </r>
  <r>
    <s v="768 PEDIATRIC AMBULATORY SERVICES"/>
    <x v="10"/>
    <x v="23"/>
    <x v="0"/>
    <n v="1.04"/>
  </r>
  <r>
    <s v="769 PEDIATRIC AMBULATORY SERVICES"/>
    <x v="10"/>
    <x v="2"/>
    <x v="0"/>
    <n v="1.04"/>
  </r>
  <r>
    <s v="770 PEDIATRIC AMBULATORY SERVICES"/>
    <x v="10"/>
    <x v="37"/>
    <x v="0"/>
    <n v="1.02"/>
  </r>
  <r>
    <s v="771 PEDIATRIC AMBULATORY SERVICES"/>
    <x v="10"/>
    <x v="3"/>
    <x v="1"/>
    <n v="1.3"/>
  </r>
  <r>
    <s v="772 PEDIATRIC AMBULATORY SERVICES"/>
    <x v="10"/>
    <x v="38"/>
    <x v="1"/>
    <n v="0.66"/>
  </r>
  <r>
    <s v="773 PEDIATRIC AMBULATORY SERVICES"/>
    <x v="10"/>
    <x v="16"/>
    <x v="3"/>
    <n v="2.6"/>
  </r>
  <r>
    <s v="774 PEDIATRIC AMBULATORY SERVICES"/>
    <x v="10"/>
    <x v="6"/>
    <x v="3"/>
    <n v="5"/>
  </r>
  <r>
    <s v="775 PEDIATRIC AMBULATORY SERVICES"/>
    <x v="10"/>
    <x v="17"/>
    <x v="1"/>
    <n v="0.09"/>
  </r>
  <r>
    <s v="776 PEDIATRIC AMBULATORY SERVICES"/>
    <x v="10"/>
    <x v="7"/>
    <x v="1"/>
    <n v="6.26"/>
  </r>
  <r>
    <s v="777 PEDIATRIC AMBULATORY SERVICES"/>
    <x v="10"/>
    <x v="8"/>
    <x v="1"/>
    <n v="4.0199999999999996"/>
  </r>
  <r>
    <s v="778 PEDIATRIC AMBULATORY SERVICES"/>
    <x v="10"/>
    <x v="11"/>
    <x v="4"/>
    <n v="6.35"/>
  </r>
  <r>
    <s v="779 PEDIATRIC AMBULATORY SERVICES"/>
    <x v="10"/>
    <x v="12"/>
    <x v="4"/>
    <n v="5.91"/>
  </r>
  <r>
    <s v="780 PEDIATRIC AMBULATORY SERVICES"/>
    <x v="10"/>
    <x v="21"/>
    <x v="5"/>
    <n v="0.8"/>
  </r>
  <r>
    <s v="765 SURGERY CLINIC"/>
    <x v="11"/>
    <x v="0"/>
    <x v="0"/>
    <n v="1"/>
  </r>
  <r>
    <s v="766 SURGERY CLINIC"/>
    <x v="11"/>
    <x v="29"/>
    <x v="5"/>
    <n v="1"/>
  </r>
  <r>
    <s v="767 SURGERY CLINIC"/>
    <x v="11"/>
    <x v="14"/>
    <x v="5"/>
    <n v="1"/>
  </r>
  <r>
    <s v="768 SURGERY CLINIC"/>
    <x v="11"/>
    <x v="1"/>
    <x v="0"/>
    <n v="0.04"/>
  </r>
  <r>
    <s v="769 SURGERY CLINIC"/>
    <x v="11"/>
    <x v="23"/>
    <x v="0"/>
    <n v="0.93"/>
  </r>
  <r>
    <s v="770 SURGERY CLINIC"/>
    <x v="11"/>
    <x v="24"/>
    <x v="5"/>
    <n v="1.02"/>
  </r>
  <r>
    <s v="771 SURGERY CLINIC"/>
    <x v="11"/>
    <x v="3"/>
    <x v="1"/>
    <n v="1.77"/>
  </r>
  <r>
    <s v="772 SURGERY CLINIC"/>
    <x v="11"/>
    <x v="5"/>
    <x v="3"/>
    <n v="0.01"/>
  </r>
  <r>
    <s v="773 SURGERY CLINIC"/>
    <x v="11"/>
    <x v="6"/>
    <x v="3"/>
    <n v="0.99"/>
  </r>
  <r>
    <s v="774 SURGERY CLINIC"/>
    <x v="11"/>
    <x v="17"/>
    <x v="1"/>
    <n v="0.72"/>
  </r>
  <r>
    <s v="775 SURGERY CLINIC"/>
    <x v="11"/>
    <x v="7"/>
    <x v="1"/>
    <n v="1.02"/>
  </r>
  <r>
    <s v="776 SURGERY CLINIC"/>
    <x v="11"/>
    <x v="8"/>
    <x v="1"/>
    <n v="2"/>
  </r>
  <r>
    <s v="777 SURGERY CLINIC"/>
    <x v="11"/>
    <x v="10"/>
    <x v="4"/>
    <n v="0.09"/>
  </r>
  <r>
    <s v="778 SURGERY CLINIC"/>
    <x v="11"/>
    <x v="11"/>
    <x v="4"/>
    <n v="4.7"/>
  </r>
  <r>
    <s v="779 SURGERY CLINIC"/>
    <x v="11"/>
    <x v="12"/>
    <x v="4"/>
    <n v="8.6"/>
  </r>
  <r>
    <s v="780 SURGERY CLINIC"/>
    <x v="11"/>
    <x v="18"/>
    <x v="5"/>
    <n v="0.4"/>
  </r>
  <r>
    <s v="767 UROLOGY CLINIC"/>
    <x v="12"/>
    <x v="32"/>
    <x v="0"/>
    <n v="1.08"/>
  </r>
  <r>
    <s v="768 UROLOGY CLINIC"/>
    <x v="12"/>
    <x v="23"/>
    <x v="0"/>
    <n v="1.04"/>
  </r>
  <r>
    <s v="769 UROLOGY CLINIC"/>
    <x v="12"/>
    <x v="24"/>
    <x v="5"/>
    <n v="1"/>
  </r>
  <r>
    <s v="770 UROLOGY CLINIC"/>
    <x v="12"/>
    <x v="3"/>
    <x v="1"/>
    <n v="5.54"/>
  </r>
  <r>
    <s v="771 UROLOGY CLINIC"/>
    <x v="12"/>
    <x v="38"/>
    <x v="1"/>
    <n v="0.77"/>
  </r>
  <r>
    <s v="772 UROLOGY CLINIC"/>
    <x v="12"/>
    <x v="5"/>
    <x v="3"/>
    <n v="0.34"/>
  </r>
  <r>
    <s v="773 UROLOGY CLINIC"/>
    <x v="12"/>
    <x v="6"/>
    <x v="3"/>
    <n v="1.3"/>
  </r>
  <r>
    <s v="774 UROLOGY CLINIC"/>
    <x v="12"/>
    <x v="8"/>
    <x v="1"/>
    <n v="1"/>
  </r>
  <r>
    <s v="775 UROLOGY CLINIC"/>
    <x v="12"/>
    <x v="10"/>
    <x v="4"/>
    <n v="0.09"/>
  </r>
  <r>
    <s v="776 UROLOGY CLINIC"/>
    <x v="12"/>
    <x v="11"/>
    <x v="4"/>
    <n v="4.78"/>
  </r>
  <r>
    <s v="777 UROLOGY CLINIC"/>
    <x v="12"/>
    <x v="12"/>
    <x v="4"/>
    <n v="2"/>
  </r>
  <r>
    <s v="770 GLASSROCK OB/GYN PRACTICE"/>
    <x v="8"/>
    <x v="0"/>
    <x v="0"/>
    <n v="0.74"/>
  </r>
  <r>
    <s v="771 GLASSROCK OB/GYN PRACTICE"/>
    <x v="8"/>
    <x v="22"/>
    <x v="0"/>
    <n v="0.5"/>
  </r>
  <r>
    <s v="772 GLASSROCK OB/GYN PRACTICE"/>
    <x v="8"/>
    <x v="23"/>
    <x v="0"/>
    <n v="0.52"/>
  </r>
  <r>
    <s v="773 GLASSROCK OB/GYN PRACTICE"/>
    <x v="8"/>
    <x v="2"/>
    <x v="0"/>
    <n v="0.52"/>
  </r>
  <r>
    <s v="774 GLASSROCK OB/GYN PRACTICE"/>
    <x v="8"/>
    <x v="3"/>
    <x v="1"/>
    <n v="1.02"/>
  </r>
  <r>
    <s v="775 GLASSROCK OB/GYN PRACTICE"/>
    <x v="8"/>
    <x v="6"/>
    <x v="3"/>
    <n v="3.25"/>
  </r>
  <r>
    <s v="776 GLASSROCK OB/GYN PRACTICE"/>
    <x v="8"/>
    <x v="7"/>
    <x v="1"/>
    <n v="0.78"/>
  </r>
  <r>
    <s v="777 GLASSROCK OB/GYN PRACTICE"/>
    <x v="8"/>
    <x v="11"/>
    <x v="4"/>
    <n v="2.92"/>
  </r>
  <r>
    <s v="778 GLASSROCK OB/GYN PRACTICE"/>
    <x v="8"/>
    <x v="12"/>
    <x v="4"/>
    <n v="0.91"/>
  </r>
  <r>
    <s v="779 CARDIOLOGY OUTPATIENT SERVICES"/>
    <x v="13"/>
    <x v="0"/>
    <x v="0"/>
    <n v="1"/>
  </r>
  <r>
    <s v="780 CARDIOLOGY OUTPATIENT SERVICES"/>
    <x v="13"/>
    <x v="14"/>
    <x v="5"/>
    <n v="0.1"/>
  </r>
  <r>
    <s v="781 CARDIOLOGY OUTPATIENT SERVICES"/>
    <x v="13"/>
    <x v="1"/>
    <x v="0"/>
    <n v="0.05"/>
  </r>
  <r>
    <s v="782 CARDIOLOGY OUTPATIENT SERVICES"/>
    <x v="13"/>
    <x v="2"/>
    <x v="0"/>
    <n v="0.78"/>
  </r>
  <r>
    <s v="783 CARDIOLOGY OUTPATIENT SERVICES"/>
    <x v="13"/>
    <x v="3"/>
    <x v="1"/>
    <n v="0.91"/>
  </r>
  <r>
    <s v="784 CARDIOLOGY OUTPATIENT SERVICES"/>
    <x v="13"/>
    <x v="39"/>
    <x v="6"/>
    <n v="3.58"/>
  </r>
  <r>
    <s v="785 CARDIOLOGY OUTPATIENT SERVICES"/>
    <x v="13"/>
    <x v="5"/>
    <x v="3"/>
    <n v="0.01"/>
  </r>
  <r>
    <s v="786 CARDIOLOGY OUTPATIENT SERVICES"/>
    <x v="13"/>
    <x v="16"/>
    <x v="3"/>
    <n v="3.7199999999999998"/>
  </r>
  <r>
    <s v="787 CARDIOLOGY OUTPATIENT SERVICES"/>
    <x v="13"/>
    <x v="6"/>
    <x v="3"/>
    <n v="0.11"/>
  </r>
  <r>
    <s v="788 CARDIOLOGY OUTPATIENT SERVICES"/>
    <x v="13"/>
    <x v="17"/>
    <x v="1"/>
    <n v="0.09"/>
  </r>
  <r>
    <s v="789 CARDIOLOGY OUTPATIENT SERVICES"/>
    <x v="13"/>
    <x v="7"/>
    <x v="1"/>
    <n v="1.9100000000000001"/>
  </r>
  <r>
    <s v="790 CARDIOLOGY OUTPATIENT SERVICES"/>
    <x v="13"/>
    <x v="8"/>
    <x v="1"/>
    <n v="4.51"/>
  </r>
  <r>
    <s v="791 CARDIOLOGY OUTPATIENT SERVICES"/>
    <x v="13"/>
    <x v="9"/>
    <x v="1"/>
    <n v="0.76"/>
  </r>
  <r>
    <s v="792 CARDIOLOGY OUTPATIENT SERVICES"/>
    <x v="13"/>
    <x v="40"/>
    <x v="1"/>
    <n v="1.03"/>
  </r>
  <r>
    <s v="793 CARDIOLOGY OUTPATIENT SERVICES"/>
    <x v="13"/>
    <x v="11"/>
    <x v="4"/>
    <n v="4.7699999999999996"/>
  </r>
  <r>
    <s v="794 CARDIOLOGY OUTPATIENT SERVICES"/>
    <x v="13"/>
    <x v="12"/>
    <x v="4"/>
    <n v="4.91"/>
  </r>
  <r>
    <s v="784 ENT-AUDIOLOGY"/>
    <x v="2"/>
    <x v="41"/>
    <x v="3"/>
    <n v="2"/>
  </r>
  <r>
    <s v="785 ENT-AUDIOLOGY"/>
    <x v="2"/>
    <x v="2"/>
    <x v="0"/>
    <n v="0.16"/>
  </r>
  <r>
    <s v="786 ENT-AUDIOLOGY"/>
    <x v="2"/>
    <x v="42"/>
    <x v="0"/>
    <n v="1.04"/>
  </r>
  <r>
    <s v="787 ENT-AUDIOLOGY"/>
    <x v="2"/>
    <x v="43"/>
    <x v="5"/>
    <n v="5.2"/>
  </r>
  <r>
    <s v="788 ENT-AUDIOLOGY"/>
    <x v="2"/>
    <x v="39"/>
    <x v="6"/>
    <n v="1"/>
  </r>
  <r>
    <s v="789 ENT-AUDIOLOGY"/>
    <x v="2"/>
    <x v="6"/>
    <x v="3"/>
    <n v="0.18"/>
  </r>
  <r>
    <s v="790 ENT-AUDIOLOGY"/>
    <x v="2"/>
    <x v="12"/>
    <x v="4"/>
    <n v="1.22"/>
  </r>
  <r>
    <s v="786 INTERNAL MEDICINE CLINICS"/>
    <x v="14"/>
    <x v="0"/>
    <x v="0"/>
    <n v="1"/>
  </r>
  <r>
    <s v="787 INTERNAL MEDICINE CLINICS"/>
    <x v="14"/>
    <x v="44"/>
    <x v="3"/>
    <n v="1"/>
  </r>
  <r>
    <s v="788 INTERNAL MEDICINE CLINICS"/>
    <x v="14"/>
    <x v="28"/>
    <x v="5"/>
    <n v="0.06"/>
  </r>
  <r>
    <s v="789 INTERNAL MEDICINE CLINICS"/>
    <x v="14"/>
    <x v="29"/>
    <x v="5"/>
    <n v="2"/>
  </r>
  <r>
    <s v="790 INTERNAL MEDICINE CLINICS"/>
    <x v="14"/>
    <x v="14"/>
    <x v="5"/>
    <n v="0.39"/>
  </r>
  <r>
    <s v="791 INTERNAL MEDICINE CLINICS"/>
    <x v="14"/>
    <x v="1"/>
    <x v="0"/>
    <n v="0.17"/>
  </r>
  <r>
    <s v="792 INTERNAL MEDICINE CLINICS"/>
    <x v="14"/>
    <x v="23"/>
    <x v="0"/>
    <n v="1.04"/>
  </r>
  <r>
    <s v="793 INTERNAL MEDICINE CLINICS"/>
    <x v="14"/>
    <x v="19"/>
    <x v="0"/>
    <n v="1.04"/>
  </r>
  <r>
    <s v="794 INTERNAL MEDICINE CLINICS"/>
    <x v="14"/>
    <x v="24"/>
    <x v="5"/>
    <n v="2.0300000000000002"/>
  </r>
  <r>
    <s v="795 INTERNAL MEDICINE CLINICS"/>
    <x v="14"/>
    <x v="3"/>
    <x v="1"/>
    <n v="6.58"/>
  </r>
  <r>
    <s v="796 INTERNAL MEDICINE CLINICS"/>
    <x v="14"/>
    <x v="38"/>
    <x v="1"/>
    <n v="0.12"/>
  </r>
  <r>
    <s v="797 INTERNAL MEDICINE CLINICS"/>
    <x v="14"/>
    <x v="5"/>
    <x v="3"/>
    <n v="0.38999999999999996"/>
  </r>
  <r>
    <s v="798 INTERNAL MEDICINE CLINICS"/>
    <x v="14"/>
    <x v="16"/>
    <x v="3"/>
    <n v="0.01"/>
  </r>
  <r>
    <s v="799 INTERNAL MEDICINE CLINICS"/>
    <x v="14"/>
    <x v="6"/>
    <x v="3"/>
    <n v="9.2200000000000006"/>
  </r>
  <r>
    <s v="800 INTERNAL MEDICINE CLINICS"/>
    <x v="14"/>
    <x v="17"/>
    <x v="1"/>
    <n v="0.56999999999999995"/>
  </r>
  <r>
    <s v="801 INTERNAL MEDICINE CLINICS"/>
    <x v="14"/>
    <x v="7"/>
    <x v="1"/>
    <n v="0.83"/>
  </r>
  <r>
    <s v="802 INTERNAL MEDICINE CLINICS"/>
    <x v="14"/>
    <x v="8"/>
    <x v="1"/>
    <n v="7.7"/>
  </r>
  <r>
    <s v="803 INTERNAL MEDICINE CLINICS"/>
    <x v="14"/>
    <x v="11"/>
    <x v="4"/>
    <n v="9.5999999999999979"/>
  </r>
  <r>
    <s v="804 INTERNAL MEDICINE CLINICS"/>
    <x v="14"/>
    <x v="12"/>
    <x v="4"/>
    <n v="7.6"/>
  </r>
  <r>
    <s v="805 INTERNAL MEDICINE CLINICS"/>
    <x v="14"/>
    <x v="45"/>
    <x v="5"/>
    <n v="0.46"/>
  </r>
  <r>
    <s v="806 INTERNAL MEDICINE CLINICS"/>
    <x v="14"/>
    <x v="46"/>
    <x v="5"/>
    <n v="0.96"/>
  </r>
  <r>
    <s v="807 INTERNAL MEDICINE CLINICS"/>
    <x v="14"/>
    <x v="21"/>
    <x v="5"/>
    <n v="1"/>
  </r>
  <r>
    <s v="787 ENT-SPEECH"/>
    <x v="2"/>
    <x v="2"/>
    <x v="0"/>
    <n v="0.16"/>
  </r>
  <r>
    <s v="788 ENT-SPEECH"/>
    <x v="2"/>
    <x v="42"/>
    <x v="0"/>
    <n v="1.04"/>
  </r>
  <r>
    <s v="789 ENT-SPEECH"/>
    <x v="2"/>
    <x v="47"/>
    <x v="5"/>
    <n v="3"/>
  </r>
  <r>
    <s v="790 ENT-SPEECH"/>
    <x v="2"/>
    <x v="6"/>
    <x v="3"/>
    <n v="0.09"/>
  </r>
  <r>
    <s v="791 ENT-SPEECH"/>
    <x v="2"/>
    <x v="48"/>
    <x v="2"/>
    <n v="0.94"/>
  </r>
  <r>
    <s v="792 ENT-SPEECH"/>
    <x v="2"/>
    <x v="12"/>
    <x v="4"/>
    <n v="0.57999999999999996"/>
  </r>
  <r>
    <s v="793 ENT-SPEECH"/>
    <x v="2"/>
    <x v="49"/>
    <x v="5"/>
    <n v="1"/>
  </r>
  <r>
    <s v="789 PLASTIC SURGERY CLINIC - C ST."/>
    <x v="11"/>
    <x v="0"/>
    <x v="0"/>
    <n v="1"/>
  </r>
  <r>
    <s v="790 PLASTIC SURGERY CLINIC - C ST."/>
    <x v="11"/>
    <x v="23"/>
    <x v="0"/>
    <n v="0.1"/>
  </r>
  <r>
    <s v="791 PLASTIC SURGERY CLINIC - C ST."/>
    <x v="11"/>
    <x v="3"/>
    <x v="1"/>
    <n v="0.98"/>
  </r>
  <r>
    <s v="792 PLASTIC SURGERY CLINIC - C ST."/>
    <x v="11"/>
    <x v="6"/>
    <x v="3"/>
    <n v="0.98"/>
  </r>
  <r>
    <s v="793 PLASTIC SURGERY CLINIC - C ST."/>
    <x v="11"/>
    <x v="11"/>
    <x v="4"/>
    <n v="0.92"/>
  </r>
  <r>
    <s v="794 PLASTIC SURGERY CLINIC - C ST."/>
    <x v="11"/>
    <x v="12"/>
    <x v="4"/>
    <n v="2.5499999999999998"/>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2">
  <r>
    <x v="0"/>
    <x v="0"/>
    <x v="0"/>
    <x v="0"/>
  </r>
  <r>
    <x v="0"/>
    <x v="1"/>
    <x v="0"/>
    <x v="1"/>
  </r>
  <r>
    <x v="0"/>
    <x v="2"/>
    <x v="0"/>
    <x v="2"/>
  </r>
  <r>
    <x v="0"/>
    <x v="3"/>
    <x v="1"/>
    <x v="3"/>
  </r>
  <r>
    <x v="0"/>
    <x v="4"/>
    <x v="2"/>
    <x v="4"/>
  </r>
  <r>
    <x v="0"/>
    <x v="5"/>
    <x v="3"/>
    <x v="5"/>
  </r>
  <r>
    <x v="0"/>
    <x v="6"/>
    <x v="3"/>
    <x v="6"/>
  </r>
  <r>
    <x v="0"/>
    <x v="7"/>
    <x v="1"/>
    <x v="7"/>
  </r>
  <r>
    <x v="0"/>
    <x v="8"/>
    <x v="1"/>
    <x v="8"/>
  </r>
  <r>
    <x v="0"/>
    <x v="9"/>
    <x v="1"/>
    <x v="3"/>
  </r>
  <r>
    <x v="0"/>
    <x v="10"/>
    <x v="4"/>
    <x v="9"/>
  </r>
  <r>
    <x v="0"/>
    <x v="11"/>
    <x v="4"/>
    <x v="10"/>
  </r>
  <r>
    <x v="0"/>
    <x v="12"/>
    <x v="4"/>
    <x v="11"/>
  </r>
  <r>
    <x v="0"/>
    <x v="13"/>
    <x v="5"/>
    <x v="12"/>
  </r>
  <r>
    <x v="1"/>
    <x v="14"/>
    <x v="5"/>
    <x v="4"/>
  </r>
  <r>
    <x v="1"/>
    <x v="2"/>
    <x v="0"/>
    <x v="13"/>
  </r>
  <r>
    <x v="1"/>
    <x v="15"/>
    <x v="6"/>
    <x v="14"/>
  </r>
  <r>
    <x v="1"/>
    <x v="16"/>
    <x v="3"/>
    <x v="15"/>
  </r>
  <r>
    <x v="1"/>
    <x v="17"/>
    <x v="1"/>
    <x v="1"/>
  </r>
  <r>
    <x v="1"/>
    <x v="7"/>
    <x v="1"/>
    <x v="16"/>
  </r>
  <r>
    <x v="1"/>
    <x v="8"/>
    <x v="1"/>
    <x v="17"/>
  </r>
  <r>
    <x v="1"/>
    <x v="12"/>
    <x v="4"/>
    <x v="3"/>
  </r>
  <r>
    <x v="1"/>
    <x v="18"/>
    <x v="5"/>
    <x v="18"/>
  </r>
  <r>
    <x v="2"/>
    <x v="0"/>
    <x v="0"/>
    <x v="19"/>
  </r>
  <r>
    <x v="2"/>
    <x v="2"/>
    <x v="0"/>
    <x v="19"/>
  </r>
  <r>
    <x v="2"/>
    <x v="19"/>
    <x v="0"/>
    <x v="2"/>
  </r>
  <r>
    <x v="2"/>
    <x v="20"/>
    <x v="3"/>
    <x v="20"/>
  </r>
  <r>
    <x v="2"/>
    <x v="17"/>
    <x v="1"/>
    <x v="21"/>
  </r>
  <r>
    <x v="2"/>
    <x v="8"/>
    <x v="1"/>
    <x v="22"/>
  </r>
  <r>
    <x v="2"/>
    <x v="13"/>
    <x v="5"/>
    <x v="23"/>
  </r>
  <r>
    <x v="3"/>
    <x v="0"/>
    <x v="0"/>
    <x v="24"/>
  </r>
  <r>
    <x v="3"/>
    <x v="1"/>
    <x v="0"/>
    <x v="25"/>
  </r>
  <r>
    <x v="3"/>
    <x v="2"/>
    <x v="0"/>
    <x v="26"/>
  </r>
  <r>
    <x v="3"/>
    <x v="19"/>
    <x v="0"/>
    <x v="2"/>
  </r>
  <r>
    <x v="3"/>
    <x v="5"/>
    <x v="3"/>
    <x v="13"/>
  </r>
  <r>
    <x v="3"/>
    <x v="6"/>
    <x v="3"/>
    <x v="27"/>
  </r>
  <r>
    <x v="3"/>
    <x v="7"/>
    <x v="1"/>
    <x v="28"/>
  </r>
  <r>
    <x v="3"/>
    <x v="8"/>
    <x v="1"/>
    <x v="29"/>
  </r>
  <r>
    <x v="3"/>
    <x v="9"/>
    <x v="1"/>
    <x v="3"/>
  </r>
  <r>
    <x v="3"/>
    <x v="10"/>
    <x v="4"/>
    <x v="30"/>
  </r>
  <r>
    <x v="3"/>
    <x v="11"/>
    <x v="4"/>
    <x v="31"/>
  </r>
  <r>
    <x v="3"/>
    <x v="12"/>
    <x v="4"/>
    <x v="32"/>
  </r>
  <r>
    <x v="3"/>
    <x v="13"/>
    <x v="5"/>
    <x v="12"/>
  </r>
  <r>
    <x v="3"/>
    <x v="21"/>
    <x v="5"/>
    <x v="0"/>
  </r>
  <r>
    <x v="4"/>
    <x v="0"/>
    <x v="0"/>
    <x v="19"/>
  </r>
  <r>
    <x v="4"/>
    <x v="22"/>
    <x v="0"/>
    <x v="19"/>
  </r>
  <r>
    <x v="4"/>
    <x v="23"/>
    <x v="0"/>
    <x v="19"/>
  </r>
  <r>
    <x v="4"/>
    <x v="24"/>
    <x v="5"/>
    <x v="19"/>
  </r>
  <r>
    <x v="4"/>
    <x v="11"/>
    <x v="4"/>
    <x v="33"/>
  </r>
  <r>
    <x v="4"/>
    <x v="12"/>
    <x v="4"/>
    <x v="34"/>
  </r>
  <r>
    <x v="5"/>
    <x v="25"/>
    <x v="3"/>
    <x v="35"/>
  </r>
  <r>
    <x v="5"/>
    <x v="26"/>
    <x v="3"/>
    <x v="0"/>
  </r>
  <r>
    <x v="5"/>
    <x v="27"/>
    <x v="3"/>
    <x v="0"/>
  </r>
  <r>
    <x v="2"/>
    <x v="0"/>
    <x v="0"/>
    <x v="36"/>
  </r>
  <r>
    <x v="2"/>
    <x v="28"/>
    <x v="5"/>
    <x v="37"/>
  </r>
  <r>
    <x v="2"/>
    <x v="29"/>
    <x v="5"/>
    <x v="25"/>
  </r>
  <r>
    <x v="2"/>
    <x v="1"/>
    <x v="0"/>
    <x v="38"/>
  </r>
  <r>
    <x v="2"/>
    <x v="2"/>
    <x v="0"/>
    <x v="39"/>
  </r>
  <r>
    <x v="2"/>
    <x v="3"/>
    <x v="1"/>
    <x v="40"/>
  </r>
  <r>
    <x v="2"/>
    <x v="6"/>
    <x v="3"/>
    <x v="41"/>
  </r>
  <r>
    <x v="2"/>
    <x v="17"/>
    <x v="1"/>
    <x v="4"/>
  </r>
  <r>
    <x v="2"/>
    <x v="8"/>
    <x v="1"/>
    <x v="42"/>
  </r>
  <r>
    <x v="2"/>
    <x v="11"/>
    <x v="4"/>
    <x v="43"/>
  </r>
  <r>
    <x v="2"/>
    <x v="12"/>
    <x v="4"/>
    <x v="44"/>
  </r>
  <r>
    <x v="2"/>
    <x v="30"/>
    <x v="5"/>
    <x v="45"/>
  </r>
  <r>
    <x v="6"/>
    <x v="0"/>
    <x v="0"/>
    <x v="0"/>
  </r>
  <r>
    <x v="6"/>
    <x v="31"/>
    <x v="0"/>
    <x v="0"/>
  </r>
  <r>
    <x v="6"/>
    <x v="32"/>
    <x v="0"/>
    <x v="3"/>
  </r>
  <r>
    <x v="6"/>
    <x v="28"/>
    <x v="5"/>
    <x v="46"/>
  </r>
  <r>
    <x v="6"/>
    <x v="14"/>
    <x v="5"/>
    <x v="47"/>
  </r>
  <r>
    <x v="6"/>
    <x v="1"/>
    <x v="0"/>
    <x v="48"/>
  </r>
  <r>
    <x v="6"/>
    <x v="23"/>
    <x v="0"/>
    <x v="2"/>
  </r>
  <r>
    <x v="6"/>
    <x v="3"/>
    <x v="1"/>
    <x v="49"/>
  </r>
  <r>
    <x v="6"/>
    <x v="6"/>
    <x v="3"/>
    <x v="50"/>
  </r>
  <r>
    <x v="6"/>
    <x v="11"/>
    <x v="4"/>
    <x v="51"/>
  </r>
  <r>
    <x v="6"/>
    <x v="12"/>
    <x v="4"/>
    <x v="52"/>
  </r>
  <r>
    <x v="6"/>
    <x v="13"/>
    <x v="5"/>
    <x v="12"/>
  </r>
  <r>
    <x v="7"/>
    <x v="0"/>
    <x v="0"/>
    <x v="28"/>
  </r>
  <r>
    <x v="7"/>
    <x v="22"/>
    <x v="0"/>
    <x v="53"/>
  </r>
  <r>
    <x v="7"/>
    <x v="32"/>
    <x v="0"/>
    <x v="54"/>
  </r>
  <r>
    <x v="7"/>
    <x v="1"/>
    <x v="0"/>
    <x v="48"/>
  </r>
  <r>
    <x v="7"/>
    <x v="23"/>
    <x v="0"/>
    <x v="39"/>
  </r>
  <r>
    <x v="7"/>
    <x v="2"/>
    <x v="0"/>
    <x v="55"/>
  </r>
  <r>
    <x v="7"/>
    <x v="24"/>
    <x v="5"/>
    <x v="56"/>
  </r>
  <r>
    <x v="7"/>
    <x v="3"/>
    <x v="1"/>
    <x v="57"/>
  </r>
  <r>
    <x v="7"/>
    <x v="33"/>
    <x v="3"/>
    <x v="58"/>
  </r>
  <r>
    <x v="7"/>
    <x v="6"/>
    <x v="3"/>
    <x v="59"/>
  </r>
  <r>
    <x v="7"/>
    <x v="7"/>
    <x v="1"/>
    <x v="60"/>
  </r>
  <r>
    <x v="7"/>
    <x v="8"/>
    <x v="1"/>
    <x v="60"/>
  </r>
  <r>
    <x v="7"/>
    <x v="11"/>
    <x v="4"/>
    <x v="61"/>
  </r>
  <r>
    <x v="7"/>
    <x v="12"/>
    <x v="4"/>
    <x v="62"/>
  </r>
  <r>
    <x v="7"/>
    <x v="34"/>
    <x v="1"/>
    <x v="56"/>
  </r>
  <r>
    <x v="8"/>
    <x v="0"/>
    <x v="0"/>
    <x v="0"/>
  </r>
  <r>
    <x v="8"/>
    <x v="31"/>
    <x v="0"/>
    <x v="0"/>
  </r>
  <r>
    <x v="8"/>
    <x v="22"/>
    <x v="0"/>
    <x v="4"/>
  </r>
  <r>
    <x v="8"/>
    <x v="35"/>
    <x v="0"/>
    <x v="0"/>
  </r>
  <r>
    <x v="8"/>
    <x v="28"/>
    <x v="5"/>
    <x v="1"/>
  </r>
  <r>
    <x v="8"/>
    <x v="14"/>
    <x v="5"/>
    <x v="9"/>
  </r>
  <r>
    <x v="8"/>
    <x v="23"/>
    <x v="0"/>
    <x v="26"/>
  </r>
  <r>
    <x v="8"/>
    <x v="2"/>
    <x v="0"/>
    <x v="26"/>
  </r>
  <r>
    <x v="8"/>
    <x v="3"/>
    <x v="1"/>
    <x v="63"/>
  </r>
  <r>
    <x v="8"/>
    <x v="6"/>
    <x v="3"/>
    <x v="64"/>
  </r>
  <r>
    <x v="8"/>
    <x v="8"/>
    <x v="1"/>
    <x v="65"/>
  </r>
  <r>
    <x v="8"/>
    <x v="11"/>
    <x v="4"/>
    <x v="66"/>
  </r>
  <r>
    <x v="8"/>
    <x v="12"/>
    <x v="4"/>
    <x v="67"/>
  </r>
  <r>
    <x v="8"/>
    <x v="21"/>
    <x v="5"/>
    <x v="14"/>
  </r>
  <r>
    <x v="9"/>
    <x v="0"/>
    <x v="0"/>
    <x v="18"/>
  </r>
  <r>
    <x v="9"/>
    <x v="22"/>
    <x v="0"/>
    <x v="19"/>
  </r>
  <r>
    <x v="9"/>
    <x v="14"/>
    <x v="5"/>
    <x v="68"/>
  </r>
  <r>
    <x v="9"/>
    <x v="1"/>
    <x v="0"/>
    <x v="1"/>
  </r>
  <r>
    <x v="9"/>
    <x v="23"/>
    <x v="0"/>
    <x v="34"/>
  </r>
  <r>
    <x v="9"/>
    <x v="2"/>
    <x v="0"/>
    <x v="19"/>
  </r>
  <r>
    <x v="9"/>
    <x v="36"/>
    <x v="5"/>
    <x v="1"/>
  </r>
  <r>
    <x v="9"/>
    <x v="24"/>
    <x v="5"/>
    <x v="53"/>
  </r>
  <r>
    <x v="9"/>
    <x v="3"/>
    <x v="1"/>
    <x v="69"/>
  </r>
  <r>
    <x v="9"/>
    <x v="6"/>
    <x v="3"/>
    <x v="54"/>
  </r>
  <r>
    <x v="9"/>
    <x v="7"/>
    <x v="1"/>
    <x v="70"/>
  </r>
  <r>
    <x v="9"/>
    <x v="11"/>
    <x v="4"/>
    <x v="71"/>
  </r>
  <r>
    <x v="9"/>
    <x v="12"/>
    <x v="4"/>
    <x v="72"/>
  </r>
  <r>
    <x v="9"/>
    <x v="21"/>
    <x v="5"/>
    <x v="53"/>
  </r>
  <r>
    <x v="10"/>
    <x v="0"/>
    <x v="0"/>
    <x v="0"/>
  </r>
  <r>
    <x v="10"/>
    <x v="29"/>
    <x v="5"/>
    <x v="13"/>
  </r>
  <r>
    <x v="10"/>
    <x v="14"/>
    <x v="5"/>
    <x v="73"/>
  </r>
  <r>
    <x v="10"/>
    <x v="1"/>
    <x v="0"/>
    <x v="23"/>
  </r>
  <r>
    <x v="10"/>
    <x v="23"/>
    <x v="0"/>
    <x v="2"/>
  </r>
  <r>
    <x v="10"/>
    <x v="2"/>
    <x v="0"/>
    <x v="2"/>
  </r>
  <r>
    <x v="10"/>
    <x v="37"/>
    <x v="0"/>
    <x v="69"/>
  </r>
  <r>
    <x v="10"/>
    <x v="3"/>
    <x v="1"/>
    <x v="74"/>
  </r>
  <r>
    <x v="10"/>
    <x v="38"/>
    <x v="1"/>
    <x v="75"/>
  </r>
  <r>
    <x v="10"/>
    <x v="16"/>
    <x v="3"/>
    <x v="76"/>
  </r>
  <r>
    <x v="10"/>
    <x v="6"/>
    <x v="3"/>
    <x v="77"/>
  </r>
  <r>
    <x v="10"/>
    <x v="17"/>
    <x v="1"/>
    <x v="15"/>
  </r>
  <r>
    <x v="10"/>
    <x v="7"/>
    <x v="1"/>
    <x v="78"/>
  </r>
  <r>
    <x v="10"/>
    <x v="8"/>
    <x v="1"/>
    <x v="79"/>
  </r>
  <r>
    <x v="10"/>
    <x v="11"/>
    <x v="4"/>
    <x v="80"/>
  </r>
  <r>
    <x v="10"/>
    <x v="12"/>
    <x v="4"/>
    <x v="32"/>
  </r>
  <r>
    <x v="10"/>
    <x v="21"/>
    <x v="5"/>
    <x v="53"/>
  </r>
  <r>
    <x v="11"/>
    <x v="0"/>
    <x v="0"/>
    <x v="0"/>
  </r>
  <r>
    <x v="11"/>
    <x v="29"/>
    <x v="5"/>
    <x v="0"/>
  </r>
  <r>
    <x v="11"/>
    <x v="14"/>
    <x v="5"/>
    <x v="0"/>
  </r>
  <r>
    <x v="11"/>
    <x v="1"/>
    <x v="0"/>
    <x v="37"/>
  </r>
  <r>
    <x v="11"/>
    <x v="23"/>
    <x v="0"/>
    <x v="81"/>
  </r>
  <r>
    <x v="11"/>
    <x v="24"/>
    <x v="5"/>
    <x v="69"/>
  </r>
  <r>
    <x v="11"/>
    <x v="3"/>
    <x v="1"/>
    <x v="82"/>
  </r>
  <r>
    <x v="11"/>
    <x v="5"/>
    <x v="3"/>
    <x v="1"/>
  </r>
  <r>
    <x v="11"/>
    <x v="6"/>
    <x v="3"/>
    <x v="83"/>
  </r>
  <r>
    <x v="11"/>
    <x v="17"/>
    <x v="1"/>
    <x v="84"/>
  </r>
  <r>
    <x v="11"/>
    <x v="7"/>
    <x v="1"/>
    <x v="69"/>
  </r>
  <r>
    <x v="11"/>
    <x v="8"/>
    <x v="1"/>
    <x v="22"/>
  </r>
  <r>
    <x v="11"/>
    <x v="10"/>
    <x v="4"/>
    <x v="15"/>
  </r>
  <r>
    <x v="11"/>
    <x v="11"/>
    <x v="4"/>
    <x v="85"/>
  </r>
  <r>
    <x v="11"/>
    <x v="12"/>
    <x v="4"/>
    <x v="86"/>
  </r>
  <r>
    <x v="11"/>
    <x v="18"/>
    <x v="5"/>
    <x v="87"/>
  </r>
  <r>
    <x v="12"/>
    <x v="32"/>
    <x v="0"/>
    <x v="54"/>
  </r>
  <r>
    <x v="12"/>
    <x v="23"/>
    <x v="0"/>
    <x v="2"/>
  </r>
  <r>
    <x v="12"/>
    <x v="24"/>
    <x v="5"/>
    <x v="0"/>
  </r>
  <r>
    <x v="12"/>
    <x v="3"/>
    <x v="1"/>
    <x v="88"/>
  </r>
  <r>
    <x v="12"/>
    <x v="38"/>
    <x v="1"/>
    <x v="89"/>
  </r>
  <r>
    <x v="12"/>
    <x v="5"/>
    <x v="3"/>
    <x v="90"/>
  </r>
  <r>
    <x v="12"/>
    <x v="6"/>
    <x v="3"/>
    <x v="74"/>
  </r>
  <r>
    <x v="12"/>
    <x v="8"/>
    <x v="1"/>
    <x v="0"/>
  </r>
  <r>
    <x v="12"/>
    <x v="10"/>
    <x v="4"/>
    <x v="15"/>
  </r>
  <r>
    <x v="12"/>
    <x v="11"/>
    <x v="4"/>
    <x v="91"/>
  </r>
  <r>
    <x v="12"/>
    <x v="12"/>
    <x v="4"/>
    <x v="22"/>
  </r>
  <r>
    <x v="8"/>
    <x v="0"/>
    <x v="0"/>
    <x v="92"/>
  </r>
  <r>
    <x v="8"/>
    <x v="22"/>
    <x v="0"/>
    <x v="4"/>
  </r>
  <r>
    <x v="8"/>
    <x v="23"/>
    <x v="0"/>
    <x v="26"/>
  </r>
  <r>
    <x v="8"/>
    <x v="2"/>
    <x v="0"/>
    <x v="26"/>
  </r>
  <r>
    <x v="8"/>
    <x v="3"/>
    <x v="1"/>
    <x v="69"/>
  </r>
  <r>
    <x v="8"/>
    <x v="6"/>
    <x v="3"/>
    <x v="93"/>
  </r>
  <r>
    <x v="8"/>
    <x v="7"/>
    <x v="1"/>
    <x v="94"/>
  </r>
  <r>
    <x v="8"/>
    <x v="11"/>
    <x v="4"/>
    <x v="73"/>
  </r>
  <r>
    <x v="8"/>
    <x v="12"/>
    <x v="4"/>
    <x v="45"/>
  </r>
  <r>
    <x v="13"/>
    <x v="0"/>
    <x v="0"/>
    <x v="0"/>
  </r>
  <r>
    <x v="13"/>
    <x v="14"/>
    <x v="5"/>
    <x v="19"/>
  </r>
  <r>
    <x v="13"/>
    <x v="1"/>
    <x v="0"/>
    <x v="12"/>
  </r>
  <r>
    <x v="13"/>
    <x v="2"/>
    <x v="0"/>
    <x v="94"/>
  </r>
  <r>
    <x v="13"/>
    <x v="3"/>
    <x v="1"/>
    <x v="45"/>
  </r>
  <r>
    <x v="13"/>
    <x v="39"/>
    <x v="6"/>
    <x v="95"/>
  </r>
  <r>
    <x v="13"/>
    <x v="5"/>
    <x v="3"/>
    <x v="1"/>
  </r>
  <r>
    <x v="13"/>
    <x v="16"/>
    <x v="3"/>
    <x v="96"/>
  </r>
  <r>
    <x v="13"/>
    <x v="6"/>
    <x v="3"/>
    <x v="97"/>
  </r>
  <r>
    <x v="13"/>
    <x v="17"/>
    <x v="1"/>
    <x v="15"/>
  </r>
  <r>
    <x v="13"/>
    <x v="7"/>
    <x v="1"/>
    <x v="98"/>
  </r>
  <r>
    <x v="13"/>
    <x v="8"/>
    <x v="1"/>
    <x v="99"/>
  </r>
  <r>
    <x v="13"/>
    <x v="9"/>
    <x v="1"/>
    <x v="71"/>
  </r>
  <r>
    <x v="13"/>
    <x v="40"/>
    <x v="1"/>
    <x v="100"/>
  </r>
  <r>
    <x v="13"/>
    <x v="11"/>
    <x v="4"/>
    <x v="101"/>
  </r>
  <r>
    <x v="13"/>
    <x v="12"/>
    <x v="4"/>
    <x v="102"/>
  </r>
  <r>
    <x v="2"/>
    <x v="41"/>
    <x v="3"/>
    <x v="22"/>
  </r>
  <r>
    <x v="2"/>
    <x v="2"/>
    <x v="0"/>
    <x v="103"/>
  </r>
  <r>
    <x v="2"/>
    <x v="42"/>
    <x v="0"/>
    <x v="2"/>
  </r>
  <r>
    <x v="2"/>
    <x v="43"/>
    <x v="5"/>
    <x v="104"/>
  </r>
  <r>
    <x v="2"/>
    <x v="39"/>
    <x v="6"/>
    <x v="0"/>
  </r>
  <r>
    <x v="2"/>
    <x v="6"/>
    <x v="3"/>
    <x v="105"/>
  </r>
  <r>
    <x v="2"/>
    <x v="12"/>
    <x v="4"/>
    <x v="106"/>
  </r>
  <r>
    <x v="14"/>
    <x v="0"/>
    <x v="0"/>
    <x v="0"/>
  </r>
  <r>
    <x v="14"/>
    <x v="44"/>
    <x v="3"/>
    <x v="0"/>
  </r>
  <r>
    <x v="14"/>
    <x v="28"/>
    <x v="5"/>
    <x v="48"/>
  </r>
  <r>
    <x v="14"/>
    <x v="29"/>
    <x v="5"/>
    <x v="22"/>
  </r>
  <r>
    <x v="14"/>
    <x v="14"/>
    <x v="5"/>
    <x v="107"/>
  </r>
  <r>
    <x v="14"/>
    <x v="1"/>
    <x v="0"/>
    <x v="108"/>
  </r>
  <r>
    <x v="14"/>
    <x v="23"/>
    <x v="0"/>
    <x v="2"/>
  </r>
  <r>
    <x v="14"/>
    <x v="19"/>
    <x v="0"/>
    <x v="2"/>
  </r>
  <r>
    <x v="14"/>
    <x v="24"/>
    <x v="5"/>
    <x v="109"/>
  </r>
  <r>
    <x v="14"/>
    <x v="3"/>
    <x v="1"/>
    <x v="110"/>
  </r>
  <r>
    <x v="14"/>
    <x v="38"/>
    <x v="1"/>
    <x v="111"/>
  </r>
  <r>
    <x v="14"/>
    <x v="5"/>
    <x v="3"/>
    <x v="112"/>
  </r>
  <r>
    <x v="14"/>
    <x v="16"/>
    <x v="3"/>
    <x v="1"/>
  </r>
  <r>
    <x v="14"/>
    <x v="6"/>
    <x v="3"/>
    <x v="113"/>
  </r>
  <r>
    <x v="14"/>
    <x v="17"/>
    <x v="1"/>
    <x v="114"/>
  </r>
  <r>
    <x v="14"/>
    <x v="7"/>
    <x v="1"/>
    <x v="55"/>
  </r>
  <r>
    <x v="14"/>
    <x v="8"/>
    <x v="1"/>
    <x v="115"/>
  </r>
  <r>
    <x v="14"/>
    <x v="11"/>
    <x v="4"/>
    <x v="116"/>
  </r>
  <r>
    <x v="14"/>
    <x v="12"/>
    <x v="4"/>
    <x v="117"/>
  </r>
  <r>
    <x v="14"/>
    <x v="45"/>
    <x v="5"/>
    <x v="118"/>
  </r>
  <r>
    <x v="14"/>
    <x v="46"/>
    <x v="5"/>
    <x v="119"/>
  </r>
  <r>
    <x v="14"/>
    <x v="21"/>
    <x v="5"/>
    <x v="0"/>
  </r>
  <r>
    <x v="2"/>
    <x v="2"/>
    <x v="0"/>
    <x v="103"/>
  </r>
  <r>
    <x v="2"/>
    <x v="42"/>
    <x v="0"/>
    <x v="2"/>
  </r>
  <r>
    <x v="2"/>
    <x v="47"/>
    <x v="5"/>
    <x v="120"/>
  </r>
  <r>
    <x v="2"/>
    <x v="6"/>
    <x v="3"/>
    <x v="15"/>
  </r>
  <r>
    <x v="2"/>
    <x v="48"/>
    <x v="2"/>
    <x v="16"/>
  </r>
  <r>
    <x v="2"/>
    <x v="12"/>
    <x v="4"/>
    <x v="121"/>
  </r>
  <r>
    <x v="2"/>
    <x v="49"/>
    <x v="5"/>
    <x v="0"/>
  </r>
  <r>
    <x v="11"/>
    <x v="0"/>
    <x v="0"/>
    <x v="0"/>
  </r>
  <r>
    <x v="11"/>
    <x v="23"/>
    <x v="0"/>
    <x v="19"/>
  </r>
  <r>
    <x v="11"/>
    <x v="3"/>
    <x v="1"/>
    <x v="122"/>
  </r>
  <r>
    <x v="11"/>
    <x v="6"/>
    <x v="3"/>
    <x v="122"/>
  </r>
  <r>
    <x v="11"/>
    <x v="11"/>
    <x v="4"/>
    <x v="123"/>
  </r>
  <r>
    <x v="11"/>
    <x v="12"/>
    <x v="4"/>
    <x v="124"/>
  </r>
  <r>
    <x v="15"/>
    <x v="50"/>
    <x v="7"/>
    <x v="1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1600-000000000000}" name="PivotTable10"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I20" firstHeaderRow="1" firstDataRow="2" firstDataCol="1"/>
  <pivotFields count="5">
    <pivotField showAll="0"/>
    <pivotField axis="axisRow" showAll="0">
      <items count="17">
        <item x="1"/>
        <item x="13"/>
        <item x="5"/>
        <item x="2"/>
        <item x="6"/>
        <item x="14"/>
        <item x="8"/>
        <item x="7"/>
        <item x="3"/>
        <item x="10"/>
        <item m="1" x="15"/>
        <item x="4"/>
        <item x="9"/>
        <item x="11"/>
        <item x="0"/>
        <item x="12"/>
        <item t="default"/>
      </items>
    </pivotField>
    <pivotField showAll="0"/>
    <pivotField axis="axisCol" showAll="0">
      <items count="8">
        <item x="2"/>
        <item x="6"/>
        <item x="3"/>
        <item x="4"/>
        <item x="5"/>
        <item x="1"/>
        <item x="0"/>
        <item t="default"/>
      </items>
    </pivotField>
    <pivotField dataField="1" showAll="0"/>
  </pivotFields>
  <rowFields count="1">
    <field x="1"/>
  </rowFields>
  <rowItems count="16">
    <i>
      <x/>
    </i>
    <i>
      <x v="1"/>
    </i>
    <i>
      <x v="2"/>
    </i>
    <i>
      <x v="3"/>
    </i>
    <i>
      <x v="4"/>
    </i>
    <i>
      <x v="5"/>
    </i>
    <i>
      <x v="6"/>
    </i>
    <i>
      <x v="7"/>
    </i>
    <i>
      <x v="8"/>
    </i>
    <i>
      <x v="9"/>
    </i>
    <i>
      <x v="11"/>
    </i>
    <i>
      <x v="12"/>
    </i>
    <i>
      <x v="13"/>
    </i>
    <i>
      <x v="14"/>
    </i>
    <i>
      <x v="15"/>
    </i>
    <i t="grand">
      <x/>
    </i>
  </rowItems>
  <colFields count="1">
    <field x="3"/>
  </colFields>
  <colItems count="8">
    <i>
      <x/>
    </i>
    <i>
      <x v="1"/>
    </i>
    <i>
      <x v="2"/>
    </i>
    <i>
      <x v="3"/>
    </i>
    <i>
      <x v="4"/>
    </i>
    <i>
      <x v="5"/>
    </i>
    <i>
      <x v="6"/>
    </i>
    <i t="grand">
      <x/>
    </i>
  </colItems>
  <dataFields count="1">
    <dataField name="Sum of FTE's"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1700-000000000000}" name="PivotTable1"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72" firstHeaderRow="1" firstDataRow="1" firstDataCol="1"/>
  <pivotFields count="4">
    <pivotField axis="axisRow" showAll="0">
      <items count="17">
        <item x="1"/>
        <item x="13"/>
        <item x="5"/>
        <item x="2"/>
        <item x="6"/>
        <item x="14"/>
        <item x="8"/>
        <item x="7"/>
        <item x="3"/>
        <item x="10"/>
        <item x="4"/>
        <item x="9"/>
        <item x="11"/>
        <item x="12"/>
        <item x="0"/>
        <item x="15"/>
        <item t="default"/>
      </items>
    </pivotField>
    <pivotField axis="axisRow" showAll="0">
      <items count="52">
        <item x="25"/>
        <item x="0"/>
        <item x="31"/>
        <item x="22"/>
        <item x="35"/>
        <item x="32"/>
        <item x="26"/>
        <item x="44"/>
        <item x="28"/>
        <item x="29"/>
        <item x="14"/>
        <item x="41"/>
        <item x="1"/>
        <item x="23"/>
        <item x="2"/>
        <item x="19"/>
        <item x="37"/>
        <item x="42"/>
        <item x="43"/>
        <item x="36"/>
        <item x="47"/>
        <item x="24"/>
        <item x="3"/>
        <item x="38"/>
        <item x="33"/>
        <item x="20"/>
        <item x="4"/>
        <item x="15"/>
        <item x="39"/>
        <item x="5"/>
        <item x="16"/>
        <item x="6"/>
        <item x="48"/>
        <item x="17"/>
        <item x="7"/>
        <item x="8"/>
        <item x="9"/>
        <item x="40"/>
        <item x="27"/>
        <item x="10"/>
        <item x="11"/>
        <item x="12"/>
        <item x="30"/>
        <item x="45"/>
        <item x="46"/>
        <item x="13"/>
        <item x="21"/>
        <item x="18"/>
        <item x="49"/>
        <item x="34"/>
        <item x="50"/>
        <item t="default"/>
      </items>
    </pivotField>
    <pivotField axis="axisRow" showAll="0">
      <items count="9">
        <item h="1" x="2"/>
        <item h="1" x="6"/>
        <item h="1" x="3"/>
        <item h="1" x="4"/>
        <item x="5"/>
        <item h="1" x="1"/>
        <item h="1" x="0"/>
        <item h="1" x="7"/>
        <item t="default"/>
      </items>
    </pivotField>
    <pivotField dataField="1" showAll="0">
      <items count="127">
        <item x="47"/>
        <item x="1"/>
        <item x="25"/>
        <item x="21"/>
        <item x="37"/>
        <item x="12"/>
        <item x="48"/>
        <item x="23"/>
        <item x="38"/>
        <item x="15"/>
        <item x="5"/>
        <item x="19"/>
        <item x="97"/>
        <item x="111"/>
        <item x="24"/>
        <item x="68"/>
        <item x="103"/>
        <item x="108"/>
        <item x="105"/>
        <item x="9"/>
        <item x="46"/>
        <item x="33"/>
        <item x="13"/>
        <item x="18"/>
        <item x="34"/>
        <item x="90"/>
        <item x="112"/>
        <item x="107"/>
        <item x="87"/>
        <item x="118"/>
        <item x="4"/>
        <item x="26"/>
        <item x="114"/>
        <item x="121"/>
        <item x="28"/>
        <item x="39"/>
        <item x="75"/>
        <item x="84"/>
        <item x="92"/>
        <item x="71"/>
        <item x="89"/>
        <item x="94"/>
        <item x="53"/>
        <item x="55"/>
        <item x="20"/>
        <item x="14"/>
        <item x="8"/>
        <item x="45"/>
        <item x="123"/>
        <item x="81"/>
        <item x="16"/>
        <item x="119"/>
        <item x="122"/>
        <item x="83"/>
        <item x="0"/>
        <item x="3"/>
        <item x="69"/>
        <item x="100"/>
        <item x="2"/>
        <item x="30"/>
        <item x="54"/>
        <item x="70"/>
        <item x="56"/>
        <item x="106"/>
        <item x="35"/>
        <item x="74"/>
        <item x="10"/>
        <item x="41"/>
        <item x="82"/>
        <item x="6"/>
        <item x="98"/>
        <item x="22"/>
        <item x="60"/>
        <item x="42"/>
        <item x="109"/>
        <item x="27"/>
        <item x="17"/>
        <item x="58"/>
        <item x="11"/>
        <item x="72"/>
        <item x="124"/>
        <item x="76"/>
        <item x="7"/>
        <item x="63"/>
        <item x="49"/>
        <item x="36"/>
        <item x="73"/>
        <item x="120"/>
        <item x="61"/>
        <item x="31"/>
        <item x="93"/>
        <item x="95"/>
        <item x="96"/>
        <item x="51"/>
        <item x="79"/>
        <item x="65"/>
        <item x="59"/>
        <item x="64"/>
        <item x="99"/>
        <item x="85"/>
        <item x="101"/>
        <item x="91"/>
        <item x="102"/>
        <item x="57"/>
        <item x="77"/>
        <item x="104"/>
        <item x="88"/>
        <item x="52"/>
        <item x="66"/>
        <item x="32"/>
        <item x="40"/>
        <item x="29"/>
        <item x="78"/>
        <item x="80"/>
        <item x="110"/>
        <item x="43"/>
        <item x="62"/>
        <item x="117"/>
        <item x="115"/>
        <item x="86"/>
        <item x="67"/>
        <item x="113"/>
        <item x="116"/>
        <item x="44"/>
        <item x="50"/>
        <item x="125"/>
        <item t="default"/>
      </items>
    </pivotField>
  </pivotFields>
  <rowFields count="3">
    <field x="0"/>
    <field x="2"/>
    <field x="1"/>
  </rowFields>
  <rowItems count="69">
    <i>
      <x/>
    </i>
    <i r="1">
      <x v="4"/>
    </i>
    <i r="2">
      <x v="10"/>
    </i>
    <i r="2">
      <x v="47"/>
    </i>
    <i>
      <x v="1"/>
    </i>
    <i r="1">
      <x v="4"/>
    </i>
    <i r="2">
      <x v="10"/>
    </i>
    <i>
      <x v="3"/>
    </i>
    <i r="1">
      <x v="4"/>
    </i>
    <i r="2">
      <x v="8"/>
    </i>
    <i r="2">
      <x v="9"/>
    </i>
    <i r="2">
      <x v="18"/>
    </i>
    <i r="2">
      <x v="20"/>
    </i>
    <i r="2">
      <x v="42"/>
    </i>
    <i r="2">
      <x v="45"/>
    </i>
    <i r="2">
      <x v="48"/>
    </i>
    <i>
      <x v="4"/>
    </i>
    <i r="1">
      <x v="4"/>
    </i>
    <i r="2">
      <x v="8"/>
    </i>
    <i r="2">
      <x v="10"/>
    </i>
    <i r="2">
      <x v="45"/>
    </i>
    <i>
      <x v="5"/>
    </i>
    <i r="1">
      <x v="4"/>
    </i>
    <i r="2">
      <x v="8"/>
    </i>
    <i r="2">
      <x v="9"/>
    </i>
    <i r="2">
      <x v="10"/>
    </i>
    <i r="2">
      <x v="21"/>
    </i>
    <i r="2">
      <x v="43"/>
    </i>
    <i r="2">
      <x v="44"/>
    </i>
    <i r="2">
      <x v="46"/>
    </i>
    <i>
      <x v="6"/>
    </i>
    <i r="1">
      <x v="4"/>
    </i>
    <i r="2">
      <x v="8"/>
    </i>
    <i r="2">
      <x v="10"/>
    </i>
    <i r="2">
      <x v="46"/>
    </i>
    <i>
      <x v="7"/>
    </i>
    <i r="1">
      <x v="4"/>
    </i>
    <i r="2">
      <x v="21"/>
    </i>
    <i>
      <x v="8"/>
    </i>
    <i r="1">
      <x v="4"/>
    </i>
    <i r="2">
      <x v="45"/>
    </i>
    <i r="2">
      <x v="46"/>
    </i>
    <i>
      <x v="9"/>
    </i>
    <i r="1">
      <x v="4"/>
    </i>
    <i r="2">
      <x v="9"/>
    </i>
    <i r="2">
      <x v="10"/>
    </i>
    <i r="2">
      <x v="46"/>
    </i>
    <i>
      <x v="10"/>
    </i>
    <i r="1">
      <x v="4"/>
    </i>
    <i r="2">
      <x v="21"/>
    </i>
    <i>
      <x v="11"/>
    </i>
    <i r="1">
      <x v="4"/>
    </i>
    <i r="2">
      <x v="10"/>
    </i>
    <i r="2">
      <x v="19"/>
    </i>
    <i r="2">
      <x v="21"/>
    </i>
    <i r="2">
      <x v="46"/>
    </i>
    <i>
      <x v="12"/>
    </i>
    <i r="1">
      <x v="4"/>
    </i>
    <i r="2">
      <x v="9"/>
    </i>
    <i r="2">
      <x v="10"/>
    </i>
    <i r="2">
      <x v="21"/>
    </i>
    <i r="2">
      <x v="47"/>
    </i>
    <i>
      <x v="13"/>
    </i>
    <i r="1">
      <x v="4"/>
    </i>
    <i r="2">
      <x v="21"/>
    </i>
    <i>
      <x v="14"/>
    </i>
    <i r="1">
      <x v="4"/>
    </i>
    <i r="2">
      <x v="45"/>
    </i>
    <i t="grand">
      <x/>
    </i>
  </rowItems>
  <colItems count="1">
    <i/>
  </colItems>
  <dataFields count="1">
    <dataField name="Sum of FTE's" fld="3" baseField="1" baseItem="10" numFmtId="165"/>
  </dataFields>
  <formats count="3">
    <format dxfId="2">
      <pivotArea outline="0" collapsedLevelsAreSubtotals="1" fieldPosition="0"/>
    </format>
    <format dxfId="1">
      <pivotArea dataOnly="0" labelOnly="1" outline="0" axis="axisValues"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1800-000000000000}" name="PivotTable1"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55" firstHeaderRow="1" firstDataRow="1" firstDataCol="1"/>
  <pivotFields count="4">
    <pivotField showAll="0"/>
    <pivotField axis="axisRow" showAll="0">
      <items count="52">
        <item x="25"/>
        <item x="0"/>
        <item x="31"/>
        <item x="22"/>
        <item x="35"/>
        <item x="32"/>
        <item x="26"/>
        <item x="44"/>
        <item x="28"/>
        <item x="29"/>
        <item x="14"/>
        <item x="41"/>
        <item x="1"/>
        <item x="23"/>
        <item x="2"/>
        <item x="19"/>
        <item x="37"/>
        <item x="42"/>
        <item x="43"/>
        <item x="36"/>
        <item x="47"/>
        <item x="24"/>
        <item x="3"/>
        <item x="38"/>
        <item x="33"/>
        <item x="20"/>
        <item x="4"/>
        <item x="15"/>
        <item x="39"/>
        <item x="5"/>
        <item x="16"/>
        <item x="6"/>
        <item x="48"/>
        <item x="17"/>
        <item x="7"/>
        <item x="8"/>
        <item x="9"/>
        <item x="40"/>
        <item x="27"/>
        <item x="10"/>
        <item x="11"/>
        <item x="12"/>
        <item x="30"/>
        <item x="45"/>
        <item x="46"/>
        <item x="13"/>
        <item x="21"/>
        <item x="18"/>
        <item x="49"/>
        <item x="34"/>
        <item x="50"/>
        <item t="default"/>
      </items>
    </pivotField>
    <pivotField showAll="0"/>
    <pivotField dataField="1" showAll="0">
      <items count="127">
        <item x="47"/>
        <item x="1"/>
        <item x="25"/>
        <item x="21"/>
        <item x="37"/>
        <item x="12"/>
        <item x="48"/>
        <item x="23"/>
        <item x="38"/>
        <item x="15"/>
        <item x="5"/>
        <item x="19"/>
        <item x="97"/>
        <item x="111"/>
        <item x="24"/>
        <item x="68"/>
        <item x="103"/>
        <item x="108"/>
        <item x="105"/>
        <item x="9"/>
        <item x="46"/>
        <item x="33"/>
        <item x="13"/>
        <item x="18"/>
        <item x="34"/>
        <item x="90"/>
        <item x="112"/>
        <item x="107"/>
        <item x="87"/>
        <item x="118"/>
        <item x="4"/>
        <item x="26"/>
        <item x="114"/>
        <item x="121"/>
        <item x="28"/>
        <item x="39"/>
        <item x="75"/>
        <item x="84"/>
        <item x="92"/>
        <item x="71"/>
        <item x="89"/>
        <item x="94"/>
        <item x="53"/>
        <item x="55"/>
        <item x="20"/>
        <item x="14"/>
        <item x="8"/>
        <item x="45"/>
        <item x="123"/>
        <item x="81"/>
        <item x="16"/>
        <item x="119"/>
        <item x="122"/>
        <item x="83"/>
        <item x="0"/>
        <item x="3"/>
        <item x="69"/>
        <item x="100"/>
        <item x="2"/>
        <item x="30"/>
        <item x="54"/>
        <item x="70"/>
        <item x="56"/>
        <item x="106"/>
        <item x="35"/>
        <item x="74"/>
        <item x="10"/>
        <item x="41"/>
        <item x="82"/>
        <item x="6"/>
        <item x="98"/>
        <item x="22"/>
        <item x="60"/>
        <item x="42"/>
        <item x="109"/>
        <item x="27"/>
        <item x="17"/>
        <item x="58"/>
        <item x="11"/>
        <item x="72"/>
        <item x="124"/>
        <item x="76"/>
        <item x="7"/>
        <item x="63"/>
        <item x="49"/>
        <item x="36"/>
        <item x="73"/>
        <item x="120"/>
        <item x="61"/>
        <item x="31"/>
        <item x="93"/>
        <item x="95"/>
        <item x="96"/>
        <item x="51"/>
        <item x="79"/>
        <item x="65"/>
        <item x="59"/>
        <item x="64"/>
        <item x="99"/>
        <item x="85"/>
        <item x="101"/>
        <item x="91"/>
        <item x="102"/>
        <item x="57"/>
        <item x="77"/>
        <item x="104"/>
        <item x="88"/>
        <item x="52"/>
        <item x="66"/>
        <item x="32"/>
        <item x="40"/>
        <item x="29"/>
        <item x="78"/>
        <item x="80"/>
        <item x="110"/>
        <item x="43"/>
        <item x="62"/>
        <item x="117"/>
        <item x="115"/>
        <item x="86"/>
        <item x="67"/>
        <item x="113"/>
        <item x="116"/>
        <item x="44"/>
        <item x="50"/>
        <item x="125"/>
        <item t="default"/>
      </items>
    </pivotField>
  </pivotFields>
  <rowFields count="1">
    <field x="1"/>
  </rowFields>
  <rowItems count="5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t="grand">
      <x/>
    </i>
  </rowItems>
  <colItems count="1">
    <i/>
  </colItems>
  <dataFields count="1">
    <dataField name="Sum of FTE's" fld="3" baseField="1" baseItem="1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Job_Code_Cohort" xr10:uid="{00000000-0013-0000-FFFF-FFFF01000000}" sourceName="Job Code Cohort">
  <pivotTables>
    <pivotTable tabId="47" name="PivotTable1"/>
  </pivotTables>
  <data>
    <tabular pivotCacheId="1">
      <items count="8">
        <i x="2"/>
        <i x="6"/>
        <i x="3"/>
        <i x="4"/>
        <i x="5" s="1"/>
        <i x="1"/>
        <i x="0"/>
        <i x="7"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Job Code Cohort" xr10:uid="{00000000-0014-0000-FFFF-FFFF01000000}" cache="Slicer_Job_Code_Cohort" caption="Job Code Cohort" rowHeight="241300"/>
</slicers>
</file>

<file path=xl/theme/theme1.xml><?xml version="1.0" encoding="utf-8"?>
<a:theme xmlns:a="http://schemas.openxmlformats.org/drawingml/2006/main" name="Office Theme">
  <a:themeElements>
    <a:clrScheme name="NBBJ">
      <a:dk1>
        <a:sysClr val="windowText" lastClr="000000"/>
      </a:dk1>
      <a:lt1>
        <a:sysClr val="window" lastClr="FFFFFF"/>
      </a:lt1>
      <a:dk2>
        <a:srgbClr val="555759"/>
      </a:dk2>
      <a:lt2>
        <a:srgbClr val="002856"/>
      </a:lt2>
      <a:accent1>
        <a:srgbClr val="00C1DE"/>
      </a:accent1>
      <a:accent2>
        <a:srgbClr val="793DBE"/>
      </a:accent2>
      <a:accent3>
        <a:srgbClr val="F05423"/>
      </a:accent3>
      <a:accent4>
        <a:srgbClr val="FFA400"/>
      </a:accent4>
      <a:accent5>
        <a:srgbClr val="FFCE00"/>
      </a:accent5>
      <a:accent6>
        <a:srgbClr val="218649"/>
      </a:accent6>
      <a:hlink>
        <a:srgbClr val="00B0F0"/>
      </a:hlink>
      <a:folHlink>
        <a:srgbClr val="00B0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ivotTable" Target="../pivotTables/pivotTable1.xml"/></Relationships>
</file>

<file path=xl/worksheets/_rels/sheet2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2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C1DE"/>
  </sheetPr>
  <dimension ref="A1:L23"/>
  <sheetViews>
    <sheetView topLeftCell="B1" workbookViewId="0">
      <selection activeCell="N12" sqref="N12"/>
    </sheetView>
  </sheetViews>
  <sheetFormatPr defaultColWidth="9.140625" defaultRowHeight="21" x14ac:dyDescent="0.45"/>
  <cols>
    <col min="1" max="1" width="0" style="18" hidden="1" customWidth="1"/>
    <col min="2" max="2" width="32.140625" style="18" bestFit="1" customWidth="1"/>
    <col min="3" max="3" width="14.85546875" style="19" customWidth="1"/>
    <col min="4" max="4" width="16.5703125" style="19" customWidth="1"/>
    <col min="5" max="5" width="13.7109375" style="19" customWidth="1"/>
    <col min="6" max="6" width="16.140625" style="18" customWidth="1"/>
    <col min="7" max="7" width="13.140625" style="18" customWidth="1"/>
    <col min="8" max="8" width="14.140625" style="18" customWidth="1"/>
    <col min="9" max="10" width="16.85546875" style="18" customWidth="1"/>
    <col min="11" max="11" width="14.7109375" style="18" customWidth="1"/>
    <col min="12" max="12" width="15.7109375" style="18" customWidth="1"/>
    <col min="13" max="16384" width="9.140625" style="18"/>
  </cols>
  <sheetData>
    <row r="1" spans="1:12" s="17" customFormat="1" x14ac:dyDescent="0.45">
      <c r="C1" s="237" t="s">
        <v>39</v>
      </c>
      <c r="D1" s="237"/>
      <c r="E1" s="237"/>
      <c r="F1" s="237"/>
      <c r="G1" s="237"/>
      <c r="H1" s="237"/>
      <c r="I1" s="237"/>
      <c r="J1" s="237"/>
      <c r="K1" s="237"/>
      <c r="L1" s="237"/>
    </row>
    <row r="2" spans="1:12" s="23" customFormat="1" ht="94.5" customHeight="1" x14ac:dyDescent="0.45">
      <c r="A2" s="23" t="s">
        <v>229</v>
      </c>
      <c r="B2" s="20" t="s">
        <v>3</v>
      </c>
      <c r="C2" s="21" t="s">
        <v>41</v>
      </c>
      <c r="D2" s="21" t="s">
        <v>230</v>
      </c>
      <c r="E2" s="21" t="s">
        <v>232</v>
      </c>
      <c r="F2" s="22" t="s">
        <v>233</v>
      </c>
      <c r="G2" s="22" t="s">
        <v>42</v>
      </c>
      <c r="H2" s="22" t="s">
        <v>43</v>
      </c>
      <c r="I2" s="22" t="s">
        <v>234</v>
      </c>
      <c r="J2" s="22" t="s">
        <v>235</v>
      </c>
      <c r="K2" s="22" t="s">
        <v>236</v>
      </c>
      <c r="L2" s="22" t="s">
        <v>237</v>
      </c>
    </row>
    <row r="3" spans="1:12" x14ac:dyDescent="0.45">
      <c r="A3" s="18" t="s">
        <v>276</v>
      </c>
      <c r="B3" s="18" t="s">
        <v>155</v>
      </c>
      <c r="C3" s="19">
        <v>23561</v>
      </c>
      <c r="D3" s="19">
        <v>12</v>
      </c>
      <c r="E3" s="19">
        <v>7</v>
      </c>
      <c r="F3" s="19">
        <v>1963.4166666666667</v>
      </c>
      <c r="G3" s="24">
        <v>0.01</v>
      </c>
      <c r="H3" s="19">
        <v>26549.124534939339</v>
      </c>
      <c r="I3" s="19">
        <v>1680</v>
      </c>
      <c r="J3" s="19">
        <v>948.18301910497644</v>
      </c>
      <c r="K3" s="18">
        <v>28</v>
      </c>
      <c r="L3" s="25">
        <v>16</v>
      </c>
    </row>
    <row r="4" spans="1:12" x14ac:dyDescent="0.45">
      <c r="A4" s="18" t="s">
        <v>277</v>
      </c>
      <c r="B4" s="18" t="s">
        <v>156</v>
      </c>
      <c r="D4" s="19">
        <v>10</v>
      </c>
      <c r="E4" s="19">
        <v>-3</v>
      </c>
      <c r="F4" s="19">
        <v>0</v>
      </c>
      <c r="G4" s="24"/>
      <c r="H4" s="19">
        <v>0</v>
      </c>
      <c r="I4" s="19"/>
      <c r="J4" s="19">
        <v>0</v>
      </c>
      <c r="K4" s="18">
        <v>10</v>
      </c>
      <c r="L4" s="25">
        <v>0</v>
      </c>
    </row>
    <row r="5" spans="1:12" x14ac:dyDescent="0.45">
      <c r="A5" s="18" t="s">
        <v>278</v>
      </c>
      <c r="B5" s="18" t="s">
        <v>20</v>
      </c>
      <c r="C5" s="19">
        <v>1800</v>
      </c>
      <c r="D5" s="19">
        <v>2</v>
      </c>
      <c r="E5" s="19">
        <v>0</v>
      </c>
      <c r="F5" s="19">
        <v>900</v>
      </c>
      <c r="G5" s="24">
        <v>0.01</v>
      </c>
      <c r="H5" s="19">
        <v>2028.2850542375456</v>
      </c>
      <c r="I5" s="19">
        <v>2400</v>
      </c>
      <c r="J5" s="19">
        <v>1014.1425271187728</v>
      </c>
      <c r="K5" s="18">
        <v>2</v>
      </c>
      <c r="L5" s="25">
        <v>0</v>
      </c>
    </row>
    <row r="6" spans="1:12" x14ac:dyDescent="0.45">
      <c r="A6" s="18" t="s">
        <v>279</v>
      </c>
      <c r="B6" s="18" t="s">
        <v>21</v>
      </c>
      <c r="C6" s="19">
        <v>24598</v>
      </c>
      <c r="D6" s="19">
        <v>32</v>
      </c>
      <c r="E6" s="19">
        <v>1</v>
      </c>
      <c r="F6" s="19">
        <v>768.6875</v>
      </c>
      <c r="G6" s="24">
        <v>1.6E-2</v>
      </c>
      <c r="H6" s="19">
        <v>29759.408339310397</v>
      </c>
      <c r="I6" s="19">
        <v>2160</v>
      </c>
      <c r="J6" s="19">
        <v>1293.887319100452</v>
      </c>
      <c r="K6" s="18">
        <v>23</v>
      </c>
      <c r="L6" s="25">
        <v>-9</v>
      </c>
    </row>
    <row r="7" spans="1:12" x14ac:dyDescent="0.45">
      <c r="A7" s="18" t="s">
        <v>280</v>
      </c>
      <c r="B7" s="18" t="s">
        <v>22</v>
      </c>
      <c r="D7" s="19">
        <v>7</v>
      </c>
      <c r="E7" s="19">
        <v>-1</v>
      </c>
      <c r="F7" s="19">
        <v>0</v>
      </c>
      <c r="G7" s="24"/>
      <c r="H7" s="19">
        <v>0</v>
      </c>
      <c r="I7" s="19"/>
      <c r="J7" s="19">
        <v>0</v>
      </c>
      <c r="K7" s="18">
        <v>7</v>
      </c>
      <c r="L7" s="25">
        <v>0</v>
      </c>
    </row>
    <row r="8" spans="1:12" x14ac:dyDescent="0.45">
      <c r="A8" s="18" t="s">
        <v>281</v>
      </c>
      <c r="B8" s="18" t="s">
        <v>23</v>
      </c>
      <c r="C8" s="19">
        <v>27875</v>
      </c>
      <c r="D8" s="19">
        <v>26</v>
      </c>
      <c r="E8" s="19">
        <v>-1</v>
      </c>
      <c r="F8" s="19">
        <v>1072.1153846153845</v>
      </c>
      <c r="G8" s="24">
        <v>0.01</v>
      </c>
      <c r="H8" s="19">
        <v>31410.247714928657</v>
      </c>
      <c r="I8" s="19">
        <v>1920</v>
      </c>
      <c r="J8" s="19">
        <v>1208.086450574179</v>
      </c>
      <c r="K8" s="18">
        <v>26</v>
      </c>
      <c r="L8" s="25">
        <v>0</v>
      </c>
    </row>
    <row r="9" spans="1:12" x14ac:dyDescent="0.45">
      <c r="A9" s="18" t="s">
        <v>282</v>
      </c>
      <c r="B9" s="18" t="s">
        <v>24</v>
      </c>
      <c r="C9" s="19">
        <v>30852</v>
      </c>
      <c r="D9" s="19">
        <v>42</v>
      </c>
      <c r="E9" s="19">
        <v>4</v>
      </c>
      <c r="F9" s="19">
        <v>734.57142857142856</v>
      </c>
      <c r="G9" s="24">
        <v>5.0000000000000001E-3</v>
      </c>
      <c r="H9" s="19">
        <v>32754.883851643481</v>
      </c>
      <c r="I9" s="19">
        <v>1920</v>
      </c>
      <c r="J9" s="19">
        <v>1213.143846357166</v>
      </c>
      <c r="K9" s="18">
        <v>27</v>
      </c>
      <c r="L9" s="25">
        <v>-15</v>
      </c>
    </row>
    <row r="10" spans="1:12" x14ac:dyDescent="0.45">
      <c r="A10" s="18" t="s">
        <v>283</v>
      </c>
      <c r="B10" s="18" t="s">
        <v>159</v>
      </c>
      <c r="C10" s="19">
        <v>30087</v>
      </c>
      <c r="D10" s="19">
        <v>23</v>
      </c>
      <c r="E10" s="19">
        <v>0</v>
      </c>
      <c r="F10" s="19">
        <v>1308.1304347826087</v>
      </c>
      <c r="G10" s="24">
        <v>0.01</v>
      </c>
      <c r="H10" s="19">
        <v>33902.784681580575</v>
      </c>
      <c r="I10" s="19">
        <v>2160</v>
      </c>
      <c r="J10" s="19">
        <v>1356.1113872632229</v>
      </c>
      <c r="K10" s="18">
        <v>25</v>
      </c>
      <c r="L10" s="25">
        <v>2</v>
      </c>
    </row>
    <row r="11" spans="1:12" x14ac:dyDescent="0.45">
      <c r="A11" s="18" t="s">
        <v>284</v>
      </c>
      <c r="B11" s="18" t="s">
        <v>26</v>
      </c>
      <c r="C11" s="19">
        <v>28055</v>
      </c>
      <c r="D11" s="19">
        <v>19</v>
      </c>
      <c r="E11" s="19">
        <v>-1</v>
      </c>
      <c r="F11" s="19">
        <v>1476.578947368421</v>
      </c>
      <c r="G11" s="24">
        <v>1.9E-2</v>
      </c>
      <c r="H11" s="19">
        <v>35164.178918440703</v>
      </c>
      <c r="I11" s="19">
        <v>3120</v>
      </c>
      <c r="J11" s="19">
        <v>1953.565495468928</v>
      </c>
      <c r="K11" s="18">
        <v>18</v>
      </c>
      <c r="L11" s="25">
        <v>-1</v>
      </c>
    </row>
    <row r="12" spans="1:12" x14ac:dyDescent="0.45">
      <c r="A12" s="18" t="s">
        <v>285</v>
      </c>
      <c r="B12" s="18" t="s">
        <v>27</v>
      </c>
      <c r="C12" s="19">
        <v>9102</v>
      </c>
      <c r="D12" s="19">
        <v>11</v>
      </c>
      <c r="E12" s="19">
        <v>-6</v>
      </c>
      <c r="F12" s="19">
        <v>827.4545454545455</v>
      </c>
      <c r="G12" s="24">
        <v>1.7000000000000001E-2</v>
      </c>
      <c r="H12" s="19">
        <v>11142.644280185354</v>
      </c>
      <c r="I12" s="19">
        <v>1920</v>
      </c>
      <c r="J12" s="19">
        <v>1238.0715866872615</v>
      </c>
      <c r="K12" s="18">
        <v>9</v>
      </c>
      <c r="L12" s="25">
        <v>-2</v>
      </c>
    </row>
    <row r="13" spans="1:12" x14ac:dyDescent="0.45">
      <c r="A13" s="18" t="s">
        <v>286</v>
      </c>
      <c r="B13" s="18" t="s">
        <v>28</v>
      </c>
      <c r="C13" s="19">
        <v>24237</v>
      </c>
      <c r="D13" s="19">
        <v>45</v>
      </c>
      <c r="E13" s="19">
        <v>-7</v>
      </c>
      <c r="F13" s="19">
        <v>538.6</v>
      </c>
      <c r="G13" s="24">
        <v>5.0000000000000001E-3</v>
      </c>
      <c r="H13" s="19">
        <v>25731.885126159828</v>
      </c>
      <c r="I13" s="19">
        <v>1920</v>
      </c>
      <c r="J13" s="19">
        <v>989.68788946768575</v>
      </c>
      <c r="K13" s="18">
        <v>26</v>
      </c>
      <c r="L13" s="25">
        <v>-19</v>
      </c>
    </row>
    <row r="14" spans="1:12" x14ac:dyDescent="0.45">
      <c r="A14" s="18" t="s">
        <v>287</v>
      </c>
      <c r="B14" s="18" t="s">
        <v>162</v>
      </c>
      <c r="C14" s="19">
        <v>4629</v>
      </c>
      <c r="D14" s="19">
        <v>7</v>
      </c>
      <c r="E14" s="19">
        <v>-2</v>
      </c>
      <c r="F14" s="19">
        <v>661.28571428571433</v>
      </c>
      <c r="G14" s="24">
        <v>1.9E-2</v>
      </c>
      <c r="H14" s="19">
        <v>5801.9955164306539</v>
      </c>
      <c r="I14" s="19">
        <v>1920</v>
      </c>
      <c r="J14" s="19">
        <v>966.99925273844235</v>
      </c>
      <c r="K14" s="18">
        <v>6</v>
      </c>
      <c r="L14" s="25">
        <v>-1</v>
      </c>
    </row>
    <row r="15" spans="1:12" x14ac:dyDescent="0.45">
      <c r="B15" s="18" t="s">
        <v>163</v>
      </c>
      <c r="F15" s="19"/>
      <c r="G15" s="24"/>
      <c r="H15" s="19"/>
      <c r="I15" s="19"/>
      <c r="J15" s="19"/>
      <c r="L15" s="25"/>
    </row>
    <row r="16" spans="1:12" x14ac:dyDescent="0.45">
      <c r="A16" s="18" t="s">
        <v>288</v>
      </c>
      <c r="B16" s="18" t="s">
        <v>30</v>
      </c>
      <c r="C16" s="19">
        <v>14607</v>
      </c>
      <c r="D16" s="19">
        <v>22</v>
      </c>
      <c r="E16" s="19">
        <v>-1</v>
      </c>
      <c r="F16" s="19">
        <v>663.9545454545455</v>
      </c>
      <c r="G16" s="24">
        <v>0.02</v>
      </c>
      <c r="H16" s="19">
        <v>18525.207893175098</v>
      </c>
      <c r="I16" s="19">
        <v>2400</v>
      </c>
      <c r="J16" s="19">
        <v>1235.0138595450067</v>
      </c>
      <c r="K16" s="18">
        <v>15</v>
      </c>
      <c r="L16" s="25">
        <v>-7</v>
      </c>
    </row>
    <row r="17" spans="1:12" x14ac:dyDescent="0.45">
      <c r="A17" s="18" t="s">
        <v>289</v>
      </c>
      <c r="B17" s="18" t="s">
        <v>31</v>
      </c>
      <c r="C17" s="19">
        <v>13544</v>
      </c>
      <c r="D17" s="19">
        <v>11</v>
      </c>
      <c r="E17" s="19">
        <v>-2</v>
      </c>
      <c r="F17" s="19">
        <v>1231.2727272727273</v>
      </c>
      <c r="G17" s="24">
        <v>1.7999999999999999E-2</v>
      </c>
      <c r="H17" s="19">
        <v>16777.230879658953</v>
      </c>
      <c r="I17" s="19">
        <v>2160</v>
      </c>
      <c r="J17" s="19">
        <v>1398.1025733049128</v>
      </c>
      <c r="K17" s="18">
        <v>12</v>
      </c>
      <c r="L17" s="25">
        <v>1</v>
      </c>
    </row>
    <row r="18" spans="1:12" x14ac:dyDescent="0.45">
      <c r="A18" s="18" t="s">
        <v>290</v>
      </c>
      <c r="B18" s="18" t="s">
        <v>32</v>
      </c>
      <c r="C18" s="19">
        <v>15406</v>
      </c>
      <c r="D18" s="19">
        <v>11</v>
      </c>
      <c r="E18" s="19">
        <v>-1</v>
      </c>
      <c r="F18" s="19">
        <v>1400.5454545454545</v>
      </c>
      <c r="G18" s="24">
        <v>0.01</v>
      </c>
      <c r="H18" s="19">
        <v>17359.866414213127</v>
      </c>
      <c r="I18" s="19">
        <v>2400</v>
      </c>
      <c r="J18" s="19">
        <v>1446.6555345177605</v>
      </c>
      <c r="K18" s="18">
        <v>12</v>
      </c>
      <c r="L18" s="25">
        <v>1</v>
      </c>
    </row>
    <row r="19" spans="1:12" x14ac:dyDescent="0.45">
      <c r="A19" s="18" t="s">
        <v>291</v>
      </c>
      <c r="B19" s="18" t="s">
        <v>164</v>
      </c>
      <c r="C19" s="19">
        <v>6529</v>
      </c>
      <c r="D19" s="19">
        <v>12</v>
      </c>
      <c r="E19" s="19">
        <v>-2</v>
      </c>
      <c r="F19" s="19">
        <v>544.08333333333337</v>
      </c>
      <c r="G19" s="24">
        <v>5.0000000000000001E-3</v>
      </c>
      <c r="H19" s="19">
        <v>6931.6944336633051</v>
      </c>
      <c r="I19" s="19">
        <v>2160</v>
      </c>
      <c r="J19" s="19">
        <v>990.24206195190072</v>
      </c>
      <c r="K19" s="18">
        <v>7</v>
      </c>
      <c r="L19" s="25">
        <v>-5</v>
      </c>
    </row>
    <row r="20" spans="1:12" s="26" customFormat="1" x14ac:dyDescent="0.45">
      <c r="B20" s="28" t="s">
        <v>34</v>
      </c>
      <c r="C20" s="29">
        <v>254882</v>
      </c>
      <c r="D20" s="29">
        <v>292</v>
      </c>
      <c r="E20" s="29">
        <v>-14</v>
      </c>
      <c r="F20" s="29">
        <v>872.88356164383561</v>
      </c>
      <c r="G20" s="30">
        <v>1.192325488195789E-2</v>
      </c>
      <c r="H20" s="29">
        <v>293839.43763856706</v>
      </c>
      <c r="I20" s="29"/>
      <c r="J20" s="29">
        <v>1161.4207021287236</v>
      </c>
      <c r="K20" s="29">
        <v>253</v>
      </c>
      <c r="L20" s="29">
        <v>-39</v>
      </c>
    </row>
    <row r="22" spans="1:12" x14ac:dyDescent="0.45">
      <c r="B22" s="18" t="s">
        <v>292</v>
      </c>
    </row>
    <row r="23" spans="1:12" x14ac:dyDescent="0.45">
      <c r="B23" s="18" t="s">
        <v>293</v>
      </c>
    </row>
  </sheetData>
  <mergeCells count="1">
    <mergeCell ref="C1:L1"/>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sheetPr>
  <dimension ref="A1:X23"/>
  <sheetViews>
    <sheetView zoomScale="90" zoomScaleNormal="90" workbookViewId="0">
      <selection activeCell="L19" sqref="L19"/>
    </sheetView>
  </sheetViews>
  <sheetFormatPr defaultColWidth="9.140625" defaultRowHeight="21" x14ac:dyDescent="0.45"/>
  <cols>
    <col min="1" max="1" width="31.140625" style="32" bestFit="1" customWidth="1"/>
    <col min="2" max="3" width="10.42578125" style="19" customWidth="1"/>
    <col min="4" max="4" width="10.42578125" style="32" customWidth="1"/>
    <col min="5" max="10" width="9.140625" style="32"/>
    <col min="11" max="11" width="10.42578125" style="32" customWidth="1"/>
    <col min="12" max="12" width="14" style="32" bestFit="1" customWidth="1"/>
    <col min="13" max="13" width="6.5703125" style="32" customWidth="1"/>
    <col min="14" max="14" width="14.140625" style="32" customWidth="1"/>
    <col min="15" max="16" width="11.7109375" style="32" customWidth="1"/>
    <col min="17" max="17" width="15.5703125" style="32" bestFit="1" customWidth="1"/>
    <col min="18" max="18" width="11" style="32" customWidth="1"/>
    <col min="19" max="19" width="16" style="32" customWidth="1"/>
    <col min="20" max="20" width="9.140625" style="32"/>
    <col min="21" max="21" width="14" style="32" customWidth="1"/>
    <col min="22" max="22" width="15.28515625" style="32" customWidth="1"/>
    <col min="23" max="23" width="14.28515625" style="32" customWidth="1"/>
    <col min="24" max="24" width="12.28515625" style="32" customWidth="1"/>
    <col min="25" max="16384" width="9.140625" style="32"/>
  </cols>
  <sheetData>
    <row r="1" spans="1:24" s="224" customFormat="1" ht="26.25" x14ac:dyDescent="0.55000000000000004">
      <c r="A1" s="224" t="s">
        <v>137</v>
      </c>
      <c r="B1" s="225"/>
      <c r="C1" s="225"/>
      <c r="N1" s="224" t="s">
        <v>138</v>
      </c>
      <c r="U1" s="224" t="s">
        <v>1016</v>
      </c>
    </row>
    <row r="2" spans="1:24" ht="87" x14ac:dyDescent="0.45">
      <c r="A2" s="182" t="s">
        <v>3</v>
      </c>
      <c r="B2" s="185" t="s">
        <v>1017</v>
      </c>
      <c r="C2" s="185" t="s">
        <v>1018</v>
      </c>
      <c r="D2" s="182" t="s">
        <v>139</v>
      </c>
      <c r="E2" s="182" t="s">
        <v>140</v>
      </c>
      <c r="F2" s="182" t="s">
        <v>141</v>
      </c>
      <c r="G2" s="182" t="s">
        <v>142</v>
      </c>
      <c r="H2" s="182" t="s">
        <v>143</v>
      </c>
      <c r="I2" s="182" t="s">
        <v>144</v>
      </c>
      <c r="J2" s="182" t="s">
        <v>145</v>
      </c>
      <c r="K2" s="182" t="s">
        <v>146</v>
      </c>
      <c r="L2" s="183" t="s">
        <v>147</v>
      </c>
      <c r="N2" s="182" t="s">
        <v>148</v>
      </c>
      <c r="O2" s="182" t="s">
        <v>149</v>
      </c>
      <c r="P2" s="182" t="s">
        <v>1019</v>
      </c>
      <c r="Q2" s="182" t="s">
        <v>150</v>
      </c>
      <c r="R2" s="182" t="s">
        <v>983</v>
      </c>
      <c r="S2" s="183" t="s">
        <v>151</v>
      </c>
      <c r="U2" s="200" t="s">
        <v>152</v>
      </c>
      <c r="V2" s="200" t="s">
        <v>153</v>
      </c>
      <c r="W2" s="200" t="s">
        <v>154</v>
      </c>
      <c r="X2" s="32" t="s">
        <v>71</v>
      </c>
    </row>
    <row r="3" spans="1:24" x14ac:dyDescent="0.45">
      <c r="A3" s="32" t="s">
        <v>155</v>
      </c>
      <c r="B3" s="19">
        <v>19</v>
      </c>
      <c r="C3" s="19">
        <v>23</v>
      </c>
      <c r="D3" s="32">
        <v>16.21</v>
      </c>
      <c r="E3" s="32">
        <v>0</v>
      </c>
      <c r="F3" s="32">
        <v>4.45</v>
      </c>
      <c r="G3" s="32">
        <v>3.9299999999999993</v>
      </c>
      <c r="H3" s="32">
        <v>10.69</v>
      </c>
      <c r="I3" s="32">
        <v>0.9</v>
      </c>
      <c r="J3" s="32">
        <v>12.32</v>
      </c>
      <c r="K3" s="32">
        <v>2.09</v>
      </c>
      <c r="L3" s="86">
        <f>SUM(D3:K3)</f>
        <v>50.59</v>
      </c>
      <c r="N3" s="232">
        <v>0</v>
      </c>
      <c r="O3" s="232">
        <v>11</v>
      </c>
      <c r="P3" s="232">
        <v>1</v>
      </c>
      <c r="Q3" s="232"/>
      <c r="R3" s="19">
        <v>7</v>
      </c>
      <c r="S3" s="129">
        <f t="shared" ref="S3:S19" si="0">SUM(N3:R3)</f>
        <v>19</v>
      </c>
      <c r="T3" s="32">
        <f>SUM(L3+S3)</f>
        <v>69.59</v>
      </c>
      <c r="U3" s="32">
        <f t="shared" ref="U3:U20" si="1">L3/B3</f>
        <v>2.6626315789473685</v>
      </c>
      <c r="V3" s="32">
        <f>IFERROR(S3/B3,0)</f>
        <v>1</v>
      </c>
      <c r="W3" s="32">
        <f>V3+U3</f>
        <v>3.6626315789473685</v>
      </c>
    </row>
    <row r="4" spans="1:24" x14ac:dyDescent="0.45">
      <c r="A4" s="32" t="s">
        <v>156</v>
      </c>
      <c r="B4" s="19">
        <v>7</v>
      </c>
      <c r="C4" s="19">
        <v>2</v>
      </c>
      <c r="D4" s="32">
        <v>0</v>
      </c>
      <c r="E4" s="32">
        <v>0</v>
      </c>
      <c r="F4" s="32">
        <v>0</v>
      </c>
      <c r="G4" s="32">
        <v>0</v>
      </c>
      <c r="H4" s="32">
        <v>0</v>
      </c>
      <c r="I4" s="32">
        <v>0</v>
      </c>
      <c r="J4" s="32">
        <v>0</v>
      </c>
      <c r="K4" s="32">
        <v>0</v>
      </c>
      <c r="L4" s="86">
        <f t="shared" ref="L4:L19" si="2">SUM(D4:K4)</f>
        <v>0</v>
      </c>
      <c r="N4" s="232"/>
      <c r="O4" s="232"/>
      <c r="P4" s="232"/>
      <c r="Q4" s="232"/>
      <c r="R4" s="19"/>
      <c r="S4" s="129">
        <f t="shared" si="0"/>
        <v>0</v>
      </c>
      <c r="T4" s="32">
        <f t="shared" ref="T4:T19" si="3">SUM(L4+S4)</f>
        <v>0</v>
      </c>
      <c r="U4" s="32">
        <f t="shared" si="1"/>
        <v>0</v>
      </c>
      <c r="V4" s="32">
        <f t="shared" ref="V4:V20" si="4">IFERROR(S4/B4,0)</f>
        <v>0</v>
      </c>
      <c r="W4" s="32">
        <f t="shared" ref="W4:W20" si="5">V4+U4</f>
        <v>0</v>
      </c>
    </row>
    <row r="5" spans="1:24" x14ac:dyDescent="0.45">
      <c r="A5" s="32" t="s">
        <v>20</v>
      </c>
      <c r="B5" s="19">
        <v>2</v>
      </c>
      <c r="C5" s="19">
        <v>1</v>
      </c>
      <c r="D5" s="32">
        <v>3</v>
      </c>
      <c r="E5" s="32">
        <v>0</v>
      </c>
      <c r="F5" s="32">
        <v>0</v>
      </c>
      <c r="G5" s="32">
        <v>3.24</v>
      </c>
      <c r="H5" s="32">
        <v>0</v>
      </c>
      <c r="I5" s="32">
        <v>0</v>
      </c>
      <c r="J5" s="32">
        <v>0</v>
      </c>
      <c r="K5" s="32">
        <v>0</v>
      </c>
      <c r="L5" s="86">
        <f t="shared" si="2"/>
        <v>6.24</v>
      </c>
      <c r="N5" s="232"/>
      <c r="O5" s="232"/>
      <c r="P5" s="232"/>
      <c r="Q5" s="232"/>
      <c r="R5" s="19"/>
      <c r="S5" s="129">
        <f t="shared" si="0"/>
        <v>0</v>
      </c>
      <c r="T5" s="32">
        <f t="shared" si="3"/>
        <v>6.24</v>
      </c>
      <c r="U5" s="32">
        <f t="shared" si="1"/>
        <v>3.12</v>
      </c>
      <c r="V5" s="32">
        <f t="shared" si="4"/>
        <v>0</v>
      </c>
      <c r="W5" s="32">
        <f t="shared" si="5"/>
        <v>3.12</v>
      </c>
    </row>
    <row r="6" spans="1:24" x14ac:dyDescent="0.45">
      <c r="A6" s="32" t="s">
        <v>21</v>
      </c>
      <c r="B6" s="19">
        <v>33</v>
      </c>
      <c r="C6" s="19">
        <v>23</v>
      </c>
      <c r="D6" s="32">
        <v>11.43</v>
      </c>
      <c r="E6" s="32">
        <v>0.94</v>
      </c>
      <c r="F6" s="32">
        <v>1</v>
      </c>
      <c r="G6" s="32">
        <v>4.68</v>
      </c>
      <c r="H6" s="32">
        <v>19.799999999999997</v>
      </c>
      <c r="I6" s="32">
        <v>10.24</v>
      </c>
      <c r="J6" s="32">
        <v>10.52</v>
      </c>
      <c r="K6" s="32">
        <v>7.24</v>
      </c>
      <c r="L6" s="86">
        <f t="shared" si="2"/>
        <v>65.849999999999994</v>
      </c>
      <c r="N6" s="19">
        <v>3</v>
      </c>
      <c r="O6" s="19">
        <v>3</v>
      </c>
      <c r="P6" s="19">
        <v>2</v>
      </c>
      <c r="Q6" s="19">
        <v>2</v>
      </c>
      <c r="R6" s="19">
        <v>3</v>
      </c>
      <c r="S6" s="129">
        <f t="shared" si="0"/>
        <v>13</v>
      </c>
      <c r="T6" s="32">
        <f t="shared" si="3"/>
        <v>78.849999999999994</v>
      </c>
      <c r="U6" s="32">
        <f t="shared" si="1"/>
        <v>1.9954545454545454</v>
      </c>
      <c r="V6" s="32">
        <f t="shared" si="4"/>
        <v>0.39393939393939392</v>
      </c>
      <c r="W6" s="32">
        <f t="shared" si="5"/>
        <v>2.3893939393939392</v>
      </c>
      <c r="X6" s="32" t="s">
        <v>157</v>
      </c>
    </row>
    <row r="7" spans="1:24" x14ac:dyDescent="0.45">
      <c r="A7" s="32" t="s">
        <v>22</v>
      </c>
      <c r="B7" s="19">
        <v>6</v>
      </c>
      <c r="C7" s="19">
        <v>9</v>
      </c>
      <c r="D7" s="32">
        <v>0</v>
      </c>
      <c r="E7" s="32">
        <v>0</v>
      </c>
      <c r="F7" s="32">
        <v>0</v>
      </c>
      <c r="G7" s="32">
        <v>0</v>
      </c>
      <c r="H7" s="32">
        <v>0</v>
      </c>
      <c r="I7" s="32">
        <v>0</v>
      </c>
      <c r="J7" s="32">
        <v>0</v>
      </c>
      <c r="K7" s="32">
        <v>0</v>
      </c>
      <c r="L7" s="86">
        <f t="shared" si="2"/>
        <v>0</v>
      </c>
      <c r="N7" s="232"/>
      <c r="O7" s="232"/>
      <c r="P7" s="232"/>
      <c r="Q7" s="232"/>
      <c r="R7" s="19"/>
      <c r="S7" s="129">
        <f t="shared" si="0"/>
        <v>0</v>
      </c>
      <c r="T7" s="32">
        <f t="shared" si="3"/>
        <v>0</v>
      </c>
      <c r="U7" s="32">
        <f t="shared" si="1"/>
        <v>0</v>
      </c>
      <c r="V7" s="32">
        <f t="shared" si="4"/>
        <v>0</v>
      </c>
      <c r="W7" s="32">
        <f t="shared" si="5"/>
        <v>0</v>
      </c>
    </row>
    <row r="8" spans="1:24" x14ac:dyDescent="0.45">
      <c r="A8" s="32" t="s">
        <v>23</v>
      </c>
      <c r="B8" s="19">
        <v>25</v>
      </c>
      <c r="C8" s="19">
        <v>20</v>
      </c>
      <c r="D8" s="32">
        <v>4.8</v>
      </c>
      <c r="E8" s="32">
        <v>0</v>
      </c>
      <c r="F8" s="32">
        <v>0</v>
      </c>
      <c r="G8" s="32">
        <v>13.510000000000002</v>
      </c>
      <c r="H8" s="32">
        <v>9.7900000000000009</v>
      </c>
      <c r="I8" s="32">
        <v>0.18</v>
      </c>
      <c r="J8" s="32">
        <v>2.87</v>
      </c>
      <c r="K8" s="32">
        <v>4.1099999999999994</v>
      </c>
      <c r="L8" s="86">
        <f t="shared" si="2"/>
        <v>35.260000000000005</v>
      </c>
      <c r="N8" s="232"/>
      <c r="O8" s="232"/>
      <c r="P8" s="232"/>
      <c r="Q8" s="232"/>
      <c r="R8" s="19"/>
      <c r="S8" s="129">
        <f t="shared" si="0"/>
        <v>0</v>
      </c>
      <c r="T8" s="32">
        <f t="shared" si="3"/>
        <v>35.260000000000005</v>
      </c>
      <c r="U8" s="32">
        <f t="shared" si="1"/>
        <v>1.4104000000000001</v>
      </c>
      <c r="V8" s="32">
        <f t="shared" si="4"/>
        <v>0</v>
      </c>
      <c r="W8" s="32">
        <f t="shared" si="5"/>
        <v>1.4104000000000001</v>
      </c>
      <c r="X8" s="32" t="s">
        <v>158</v>
      </c>
    </row>
    <row r="9" spans="1:24" x14ac:dyDescent="0.45">
      <c r="A9" s="32" t="s">
        <v>24</v>
      </c>
      <c r="B9" s="19">
        <v>46</v>
      </c>
      <c r="C9" s="19">
        <v>23</v>
      </c>
      <c r="D9" s="32">
        <v>21.32</v>
      </c>
      <c r="E9" s="32">
        <v>0</v>
      </c>
      <c r="F9" s="32">
        <v>0</v>
      </c>
      <c r="G9" s="32">
        <v>10.620000000000001</v>
      </c>
      <c r="H9" s="32">
        <v>17.199999999999996</v>
      </c>
      <c r="I9" s="32">
        <v>6.9</v>
      </c>
      <c r="J9" s="32">
        <v>15.8</v>
      </c>
      <c r="K9" s="32">
        <v>3.25</v>
      </c>
      <c r="L9" s="86">
        <f t="shared" si="2"/>
        <v>75.09</v>
      </c>
      <c r="N9" s="19">
        <v>29</v>
      </c>
      <c r="O9" s="232">
        <v>20</v>
      </c>
      <c r="P9" s="232">
        <v>4</v>
      </c>
      <c r="Q9" s="232">
        <v>11</v>
      </c>
      <c r="R9" s="19">
        <v>0</v>
      </c>
      <c r="S9" s="129">
        <f t="shared" si="0"/>
        <v>64</v>
      </c>
      <c r="T9" s="32">
        <f t="shared" si="3"/>
        <v>139.09</v>
      </c>
      <c r="U9" s="32">
        <f t="shared" si="1"/>
        <v>1.6323913043478262</v>
      </c>
      <c r="V9" s="32">
        <f t="shared" si="4"/>
        <v>1.3913043478260869</v>
      </c>
      <c r="W9" s="32">
        <f t="shared" si="5"/>
        <v>3.0236956521739131</v>
      </c>
    </row>
    <row r="10" spans="1:24" x14ac:dyDescent="0.45">
      <c r="A10" s="32" t="s">
        <v>159</v>
      </c>
      <c r="B10" s="19">
        <v>23</v>
      </c>
      <c r="C10" s="19">
        <v>13</v>
      </c>
      <c r="D10" s="32">
        <v>14.9</v>
      </c>
      <c r="E10" s="32">
        <v>0</v>
      </c>
      <c r="F10" s="32">
        <v>0</v>
      </c>
      <c r="G10" s="32">
        <v>7.71</v>
      </c>
      <c r="H10" s="32">
        <v>18.38</v>
      </c>
      <c r="I10" s="32">
        <v>1.08</v>
      </c>
      <c r="J10" s="32">
        <v>8.7799999999999994</v>
      </c>
      <c r="K10" s="32">
        <v>6.8199999999999985</v>
      </c>
      <c r="L10" s="86">
        <f t="shared" si="2"/>
        <v>57.669999999999995</v>
      </c>
      <c r="N10" s="19">
        <v>4</v>
      </c>
      <c r="O10" s="232">
        <v>3</v>
      </c>
      <c r="P10" s="232">
        <v>1</v>
      </c>
      <c r="Q10" s="232">
        <v>12</v>
      </c>
      <c r="R10" s="19"/>
      <c r="S10" s="129">
        <f t="shared" si="0"/>
        <v>20</v>
      </c>
      <c r="T10" s="32">
        <f t="shared" si="3"/>
        <v>77.669999999999987</v>
      </c>
      <c r="U10" s="32">
        <f t="shared" si="1"/>
        <v>2.5073913043478258</v>
      </c>
      <c r="V10" s="32">
        <f t="shared" si="4"/>
        <v>0.86956521739130432</v>
      </c>
      <c r="W10" s="32">
        <f t="shared" si="5"/>
        <v>3.37695652173913</v>
      </c>
    </row>
    <row r="11" spans="1:24" x14ac:dyDescent="0.45">
      <c r="A11" s="32" t="s">
        <v>26</v>
      </c>
      <c r="B11" s="19">
        <v>18</v>
      </c>
      <c r="C11" s="19">
        <v>13</v>
      </c>
      <c r="D11" s="32">
        <v>13.5</v>
      </c>
      <c r="E11" s="32">
        <v>0</v>
      </c>
      <c r="F11" s="32">
        <v>0</v>
      </c>
      <c r="G11" s="32">
        <v>6.6</v>
      </c>
      <c r="H11" s="32">
        <v>10.24</v>
      </c>
      <c r="I11" s="32">
        <v>1.1200000000000001</v>
      </c>
      <c r="J11" s="32">
        <v>10.059999999999999</v>
      </c>
      <c r="K11" s="32">
        <v>3.99</v>
      </c>
      <c r="L11" s="86">
        <f t="shared" si="2"/>
        <v>45.510000000000005</v>
      </c>
      <c r="N11" s="232">
        <v>9</v>
      </c>
      <c r="O11" s="232">
        <v>3</v>
      </c>
      <c r="P11" s="232">
        <v>0</v>
      </c>
      <c r="Q11" s="232">
        <v>3</v>
      </c>
      <c r="R11" s="19">
        <v>0</v>
      </c>
      <c r="S11" s="129">
        <f t="shared" si="0"/>
        <v>15</v>
      </c>
      <c r="T11" s="32">
        <f t="shared" si="3"/>
        <v>60.510000000000005</v>
      </c>
      <c r="U11" s="32">
        <f t="shared" si="1"/>
        <v>2.5283333333333338</v>
      </c>
      <c r="V11" s="32">
        <f t="shared" si="4"/>
        <v>0.83333333333333337</v>
      </c>
      <c r="W11" s="32">
        <f t="shared" si="5"/>
        <v>3.3616666666666672</v>
      </c>
    </row>
    <row r="12" spans="1:24" x14ac:dyDescent="0.45">
      <c r="A12" s="32" t="s">
        <v>27</v>
      </c>
      <c r="B12" s="19">
        <v>5</v>
      </c>
      <c r="C12" s="19">
        <v>6</v>
      </c>
      <c r="D12" s="32">
        <v>7.15</v>
      </c>
      <c r="E12" s="32">
        <v>0</v>
      </c>
      <c r="F12" s="32">
        <v>0</v>
      </c>
      <c r="G12" s="32">
        <v>2.33</v>
      </c>
      <c r="H12" s="32">
        <v>10</v>
      </c>
      <c r="I12" s="32">
        <v>1.05</v>
      </c>
      <c r="J12" s="32">
        <v>7.839999999999999</v>
      </c>
      <c r="K12" s="32">
        <v>1.71</v>
      </c>
      <c r="L12" s="86">
        <f t="shared" si="2"/>
        <v>30.080000000000002</v>
      </c>
      <c r="N12" s="19">
        <v>2</v>
      </c>
      <c r="O12" s="232">
        <v>5</v>
      </c>
      <c r="P12" s="232">
        <v>2</v>
      </c>
      <c r="Q12" s="19">
        <v>4</v>
      </c>
      <c r="R12" s="19">
        <v>0</v>
      </c>
      <c r="S12" s="129">
        <f t="shared" si="0"/>
        <v>13</v>
      </c>
      <c r="T12" s="32">
        <f t="shared" si="3"/>
        <v>43.08</v>
      </c>
      <c r="U12" s="32">
        <f t="shared" si="1"/>
        <v>6.016</v>
      </c>
      <c r="V12" s="32">
        <f t="shared" si="4"/>
        <v>2.6</v>
      </c>
      <c r="W12" s="32">
        <f t="shared" si="5"/>
        <v>8.6159999999999997</v>
      </c>
      <c r="X12" s="32" t="s">
        <v>160</v>
      </c>
    </row>
    <row r="13" spans="1:24" x14ac:dyDescent="0.45">
      <c r="A13" s="32" t="s">
        <v>28</v>
      </c>
      <c r="B13" s="19">
        <v>38</v>
      </c>
      <c r="C13" s="19">
        <v>19</v>
      </c>
      <c r="D13" s="32">
        <v>28.35</v>
      </c>
      <c r="E13" s="32">
        <v>0</v>
      </c>
      <c r="F13" s="32">
        <v>0</v>
      </c>
      <c r="G13" s="32">
        <v>7.6</v>
      </c>
      <c r="H13" s="32">
        <v>12.26</v>
      </c>
      <c r="I13" s="32">
        <v>3.9799999999999995</v>
      </c>
      <c r="J13" s="32">
        <v>12.329999999999998</v>
      </c>
      <c r="K13" s="32">
        <v>4.17</v>
      </c>
      <c r="L13" s="86">
        <f t="shared" si="2"/>
        <v>68.69</v>
      </c>
      <c r="N13" s="232">
        <v>11</v>
      </c>
      <c r="O13" s="232">
        <v>1</v>
      </c>
      <c r="P13" s="232">
        <v>0</v>
      </c>
      <c r="Q13" s="232">
        <v>12</v>
      </c>
      <c r="R13" s="19">
        <v>2</v>
      </c>
      <c r="S13" s="129">
        <f t="shared" si="0"/>
        <v>26</v>
      </c>
      <c r="T13" s="32">
        <f t="shared" si="3"/>
        <v>94.69</v>
      </c>
      <c r="U13" s="32">
        <f t="shared" si="1"/>
        <v>1.8076315789473683</v>
      </c>
      <c r="V13" s="32">
        <f t="shared" si="4"/>
        <v>0.68421052631578949</v>
      </c>
      <c r="W13" s="32">
        <f t="shared" si="5"/>
        <v>2.4918421052631579</v>
      </c>
      <c r="X13" s="32" t="s">
        <v>161</v>
      </c>
    </row>
    <row r="14" spans="1:24" x14ac:dyDescent="0.45">
      <c r="A14" s="32" t="s">
        <v>162</v>
      </c>
      <c r="B14" s="19">
        <v>5</v>
      </c>
      <c r="C14" s="19">
        <v>4</v>
      </c>
      <c r="D14" s="32">
        <v>3.96</v>
      </c>
      <c r="E14" s="32">
        <v>0</v>
      </c>
      <c r="F14" s="32">
        <v>0</v>
      </c>
      <c r="G14" s="32">
        <v>1.08</v>
      </c>
      <c r="H14" s="32">
        <v>3.78</v>
      </c>
      <c r="I14" s="32">
        <v>1.85</v>
      </c>
      <c r="J14" s="32">
        <v>2.1100000000000003</v>
      </c>
      <c r="K14" s="32">
        <v>1.1200000000000001</v>
      </c>
      <c r="L14" s="86">
        <f t="shared" si="2"/>
        <v>13.900000000000002</v>
      </c>
      <c r="N14" s="232">
        <f t="shared" ref="N14" si="6">B14*0.4</f>
        <v>2</v>
      </c>
      <c r="O14" s="232">
        <f t="shared" ref="O14" si="7">0.1*B14</f>
        <v>0.5</v>
      </c>
      <c r="P14" s="232">
        <v>0</v>
      </c>
      <c r="Q14" s="232">
        <v>0</v>
      </c>
      <c r="R14" s="19">
        <v>1</v>
      </c>
      <c r="S14" s="129">
        <f t="shared" si="0"/>
        <v>3.5</v>
      </c>
      <c r="T14" s="32">
        <f t="shared" si="3"/>
        <v>17.400000000000002</v>
      </c>
      <c r="U14" s="32">
        <f t="shared" si="1"/>
        <v>2.7800000000000002</v>
      </c>
      <c r="V14" s="32">
        <f t="shared" si="4"/>
        <v>0.7</v>
      </c>
      <c r="W14" s="32">
        <f t="shared" si="5"/>
        <v>3.4800000000000004</v>
      </c>
    </row>
    <row r="15" spans="1:24" x14ac:dyDescent="0.45">
      <c r="A15" s="32" t="s">
        <v>163</v>
      </c>
      <c r="B15" s="19">
        <v>1</v>
      </c>
      <c r="C15" s="19">
        <v>0</v>
      </c>
      <c r="D15" s="32">
        <v>1</v>
      </c>
      <c r="E15" s="32">
        <v>0</v>
      </c>
      <c r="F15" s="32">
        <v>0</v>
      </c>
      <c r="G15" s="32">
        <v>0</v>
      </c>
      <c r="H15" s="32">
        <v>1</v>
      </c>
      <c r="I15" s="32">
        <v>0</v>
      </c>
      <c r="J15" s="32">
        <v>14</v>
      </c>
      <c r="K15" s="32">
        <v>1</v>
      </c>
      <c r="L15" s="86">
        <f t="shared" si="2"/>
        <v>17</v>
      </c>
      <c r="N15" s="232">
        <v>0</v>
      </c>
      <c r="O15" s="232">
        <v>0</v>
      </c>
      <c r="P15" s="232">
        <v>0</v>
      </c>
      <c r="Q15" s="232">
        <v>0</v>
      </c>
      <c r="R15" s="19">
        <v>0</v>
      </c>
      <c r="S15" s="129">
        <f t="shared" si="0"/>
        <v>0</v>
      </c>
      <c r="T15" s="32">
        <f t="shared" si="3"/>
        <v>17</v>
      </c>
      <c r="U15" s="32">
        <f t="shared" si="1"/>
        <v>17</v>
      </c>
      <c r="V15" s="32">
        <f t="shared" si="4"/>
        <v>0</v>
      </c>
      <c r="W15" s="32">
        <f t="shared" si="5"/>
        <v>17</v>
      </c>
    </row>
    <row r="16" spans="1:24" x14ac:dyDescent="0.45">
      <c r="A16" s="32" t="s">
        <v>30</v>
      </c>
      <c r="B16" s="19">
        <v>21</v>
      </c>
      <c r="C16" s="19">
        <v>9</v>
      </c>
      <c r="D16" s="32">
        <v>11.35</v>
      </c>
      <c r="E16" s="32">
        <v>0</v>
      </c>
      <c r="F16" s="32">
        <v>0</v>
      </c>
      <c r="G16" s="32">
        <v>1.98</v>
      </c>
      <c r="H16" s="32">
        <v>16.86</v>
      </c>
      <c r="I16" s="32">
        <v>3.42</v>
      </c>
      <c r="J16" s="32">
        <v>6.49</v>
      </c>
      <c r="K16" s="32">
        <v>3.0700000000000003</v>
      </c>
      <c r="L16" s="86">
        <f t="shared" si="2"/>
        <v>43.17</v>
      </c>
      <c r="N16" s="19">
        <v>10.6</v>
      </c>
      <c r="O16" s="19">
        <v>2.2000000000000002</v>
      </c>
      <c r="P16" s="19">
        <v>10.8</v>
      </c>
      <c r="Q16" s="19">
        <v>6</v>
      </c>
      <c r="R16" s="19">
        <v>0.4</v>
      </c>
      <c r="S16" s="129">
        <f t="shared" si="0"/>
        <v>30</v>
      </c>
      <c r="T16" s="32">
        <f t="shared" si="3"/>
        <v>73.17</v>
      </c>
      <c r="U16" s="32">
        <f t="shared" si="1"/>
        <v>2.0557142857142856</v>
      </c>
      <c r="V16" s="32">
        <f t="shared" si="4"/>
        <v>1.4285714285714286</v>
      </c>
      <c r="W16" s="32">
        <f t="shared" si="5"/>
        <v>3.484285714285714</v>
      </c>
    </row>
    <row r="17" spans="1:23" x14ac:dyDescent="0.45">
      <c r="A17" s="32" t="s">
        <v>31</v>
      </c>
      <c r="B17" s="19">
        <v>9</v>
      </c>
      <c r="C17" s="19">
        <v>8</v>
      </c>
      <c r="D17" s="32">
        <v>7.06</v>
      </c>
      <c r="E17" s="32">
        <v>0</v>
      </c>
      <c r="F17" s="32">
        <v>0</v>
      </c>
      <c r="L17" s="86">
        <f t="shared" si="2"/>
        <v>7.06</v>
      </c>
      <c r="N17" s="232">
        <v>4</v>
      </c>
      <c r="O17" s="232">
        <v>1</v>
      </c>
      <c r="P17" s="232">
        <v>4</v>
      </c>
      <c r="Q17" s="232">
        <v>2</v>
      </c>
      <c r="R17" s="232">
        <v>0</v>
      </c>
      <c r="S17" s="129">
        <f t="shared" si="0"/>
        <v>11</v>
      </c>
      <c r="T17" s="32">
        <f t="shared" si="3"/>
        <v>18.059999999999999</v>
      </c>
      <c r="U17" s="32">
        <f t="shared" si="1"/>
        <v>0.78444444444444439</v>
      </c>
      <c r="V17" s="32">
        <f t="shared" si="4"/>
        <v>1.2222222222222223</v>
      </c>
      <c r="W17" s="32">
        <f t="shared" si="5"/>
        <v>2.0066666666666668</v>
      </c>
    </row>
    <row r="18" spans="1:23" x14ac:dyDescent="0.45">
      <c r="A18" s="32" t="s">
        <v>32</v>
      </c>
      <c r="B18" s="19">
        <v>10</v>
      </c>
      <c r="C18" s="19">
        <v>9</v>
      </c>
      <c r="D18" s="32">
        <v>5.5</v>
      </c>
      <c r="E18" s="32">
        <v>0</v>
      </c>
      <c r="F18" s="32">
        <v>0</v>
      </c>
      <c r="G18" s="32">
        <v>1.6400000000000001</v>
      </c>
      <c r="H18" s="32">
        <v>6.87</v>
      </c>
      <c r="I18" s="32">
        <v>1</v>
      </c>
      <c r="J18" s="32">
        <v>7.3100000000000005</v>
      </c>
      <c r="K18" s="32">
        <v>2.12</v>
      </c>
      <c r="L18" s="86">
        <f t="shared" si="2"/>
        <v>24.44</v>
      </c>
      <c r="N18" s="232">
        <v>5</v>
      </c>
      <c r="O18" s="232">
        <v>0</v>
      </c>
      <c r="P18" s="232">
        <v>0</v>
      </c>
      <c r="Q18" s="232">
        <v>4</v>
      </c>
      <c r="R18" s="232">
        <v>2</v>
      </c>
      <c r="S18" s="129">
        <f t="shared" si="0"/>
        <v>11</v>
      </c>
      <c r="T18" s="32">
        <f>SUM(L18+S18)</f>
        <v>35.44</v>
      </c>
      <c r="U18" s="32">
        <f t="shared" si="1"/>
        <v>2.444</v>
      </c>
      <c r="V18" s="32">
        <f t="shared" si="4"/>
        <v>1.1000000000000001</v>
      </c>
      <c r="W18" s="32">
        <f t="shared" si="5"/>
        <v>3.544</v>
      </c>
    </row>
    <row r="19" spans="1:23" x14ac:dyDescent="0.45">
      <c r="A19" s="32" t="s">
        <v>164</v>
      </c>
      <c r="B19" s="19">
        <v>10</v>
      </c>
      <c r="C19" s="19">
        <v>3</v>
      </c>
      <c r="D19" s="32">
        <v>9.2100000000000009</v>
      </c>
      <c r="E19" s="32">
        <v>0.5</v>
      </c>
      <c r="F19" s="32">
        <v>0</v>
      </c>
      <c r="G19" s="32">
        <v>1.8800000000000001</v>
      </c>
      <c r="H19" s="32">
        <v>4.0299999999999994</v>
      </c>
      <c r="I19" s="32">
        <v>0.05</v>
      </c>
      <c r="J19" s="32">
        <v>5.61</v>
      </c>
      <c r="K19" s="32">
        <v>2.0499999999999998</v>
      </c>
      <c r="L19" s="86">
        <f t="shared" si="2"/>
        <v>23.330000000000002</v>
      </c>
      <c r="N19" s="19">
        <v>6</v>
      </c>
      <c r="O19" s="232">
        <v>0</v>
      </c>
      <c r="P19" s="232">
        <v>0</v>
      </c>
      <c r="Q19" s="232">
        <v>0</v>
      </c>
      <c r="R19" s="19">
        <v>0</v>
      </c>
      <c r="S19" s="129">
        <f t="shared" si="0"/>
        <v>6</v>
      </c>
      <c r="T19" s="32">
        <f t="shared" si="3"/>
        <v>29.330000000000002</v>
      </c>
      <c r="U19" s="32">
        <f t="shared" si="1"/>
        <v>2.3330000000000002</v>
      </c>
      <c r="V19" s="32">
        <f t="shared" si="4"/>
        <v>0.6</v>
      </c>
      <c r="W19" s="32">
        <f t="shared" si="5"/>
        <v>2.9330000000000003</v>
      </c>
    </row>
    <row r="20" spans="1:23" x14ac:dyDescent="0.45">
      <c r="A20" s="184" t="s">
        <v>34</v>
      </c>
      <c r="B20" s="28">
        <v>278</v>
      </c>
      <c r="C20" s="28">
        <f>SUM(C3:C19)</f>
        <v>185</v>
      </c>
      <c r="D20" s="184">
        <v>154.74</v>
      </c>
      <c r="E20" s="184">
        <f t="shared" ref="E20:K20" si="8">SUM(E3:E19)</f>
        <v>1.44</v>
      </c>
      <c r="F20" s="184">
        <f t="shared" si="8"/>
        <v>5.45</v>
      </c>
      <c r="G20" s="184">
        <f t="shared" si="8"/>
        <v>66.8</v>
      </c>
      <c r="H20" s="184">
        <f t="shared" si="8"/>
        <v>140.9</v>
      </c>
      <c r="I20" s="184">
        <f t="shared" si="8"/>
        <v>31.77</v>
      </c>
      <c r="J20" s="184">
        <f t="shared" si="8"/>
        <v>116.04</v>
      </c>
      <c r="K20" s="184">
        <f t="shared" si="8"/>
        <v>42.739999999999995</v>
      </c>
      <c r="L20" s="184">
        <f>SUM(L3:L19)</f>
        <v>563.88</v>
      </c>
      <c r="N20" s="28">
        <f t="shared" ref="N20:S20" si="9">SUM(N3:N19)</f>
        <v>85.6</v>
      </c>
      <c r="O20" s="28">
        <f t="shared" si="9"/>
        <v>49.7</v>
      </c>
      <c r="P20" s="28">
        <f t="shared" si="9"/>
        <v>24.8</v>
      </c>
      <c r="Q20" s="28">
        <f t="shared" si="9"/>
        <v>56</v>
      </c>
      <c r="R20" s="28">
        <f t="shared" si="9"/>
        <v>15.4</v>
      </c>
      <c r="S20" s="28">
        <f t="shared" si="9"/>
        <v>231.5</v>
      </c>
      <c r="U20" s="32">
        <f>L20/B20</f>
        <v>2.0283453237410072</v>
      </c>
      <c r="V20" s="32">
        <f t="shared" si="4"/>
        <v>0.83273381294964033</v>
      </c>
      <c r="W20" s="32">
        <f t="shared" si="5"/>
        <v>2.8610791366906474</v>
      </c>
    </row>
    <row r="21" spans="1:23" x14ac:dyDescent="0.45">
      <c r="B21" s="82">
        <f t="shared" ref="B21:D21" si="10">B20/$B$20</f>
        <v>1</v>
      </c>
      <c r="C21" s="82"/>
      <c r="D21" s="82">
        <f t="shared" si="10"/>
        <v>0.55661870503597122</v>
      </c>
      <c r="N21" s="82">
        <f>N20/B20</f>
        <v>0.30791366906474821</v>
      </c>
      <c r="O21" s="82">
        <f>O20/B20</f>
        <v>0.1787769784172662</v>
      </c>
      <c r="P21" s="82">
        <f>P20/$B$20</f>
        <v>8.9208633093525183E-2</v>
      </c>
      <c r="Q21" s="82">
        <f>Q20/$B$20</f>
        <v>0.20143884892086331</v>
      </c>
      <c r="R21" s="82">
        <f>R20/$B$20</f>
        <v>5.5395683453237414E-2</v>
      </c>
      <c r="S21" s="82">
        <f>S20/$B$20</f>
        <v>0.83273381294964033</v>
      </c>
      <c r="W21" s="86">
        <f>(S20+L20)/B20</f>
        <v>2.8610791366906474</v>
      </c>
    </row>
    <row r="22" spans="1:23" x14ac:dyDescent="0.45">
      <c r="A22" s="32" t="s">
        <v>986</v>
      </c>
      <c r="N22" s="233" t="s">
        <v>985</v>
      </c>
      <c r="O22" s="234"/>
      <c r="P22" s="201"/>
      <c r="Q22" s="201"/>
    </row>
    <row r="23" spans="1:23" x14ac:dyDescent="0.45">
      <c r="A23" s="32" t="s">
        <v>987</v>
      </c>
    </row>
  </sheetData>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pageSetUpPr fitToPage="1"/>
  </sheetPr>
  <dimension ref="A1:U31"/>
  <sheetViews>
    <sheetView workbookViewId="0">
      <selection activeCell="A4" sqref="A1:XFD1048576"/>
    </sheetView>
  </sheetViews>
  <sheetFormatPr defaultColWidth="9.140625" defaultRowHeight="21" x14ac:dyDescent="0.45"/>
  <cols>
    <col min="1" max="1" width="8.7109375" style="18" customWidth="1"/>
    <col min="2" max="2" width="24.5703125" style="18" customWidth="1"/>
    <col min="3" max="3" width="13" style="18" customWidth="1"/>
    <col min="4" max="4" width="21.42578125" style="18" customWidth="1"/>
    <col min="5" max="5" width="7.140625" style="18" bestFit="1" customWidth="1"/>
    <col min="6" max="6" width="12" style="18" customWidth="1"/>
    <col min="7" max="7" width="10.7109375" style="18" customWidth="1"/>
    <col min="8" max="8" width="2.5703125" style="18" customWidth="1"/>
    <col min="9" max="9" width="23.7109375" style="18" hidden="1" customWidth="1"/>
    <col min="10" max="10" width="13" style="18" hidden="1" customWidth="1"/>
    <col min="11" max="11" width="20.28515625" style="18" hidden="1" customWidth="1"/>
    <col min="12" max="12" width="7.140625" style="18" hidden="1" customWidth="1"/>
    <col min="13" max="13" width="12" style="18" hidden="1" customWidth="1"/>
    <col min="14" max="14" width="9.28515625" style="18" hidden="1" customWidth="1"/>
    <col min="15" max="15" width="2.5703125" style="18" hidden="1" customWidth="1"/>
    <col min="16" max="16" width="24.140625" style="18" hidden="1" customWidth="1"/>
    <col min="17" max="17" width="13" style="18" hidden="1" customWidth="1"/>
    <col min="18" max="18" width="20.28515625" style="18" hidden="1" customWidth="1"/>
    <col min="19" max="19" width="7.140625" style="18" hidden="1" customWidth="1"/>
    <col min="20" max="20" width="12" style="18" hidden="1" customWidth="1"/>
    <col min="21" max="24" width="0" style="18" hidden="1" customWidth="1"/>
    <col min="25" max="16384" width="9.140625" style="18"/>
  </cols>
  <sheetData>
    <row r="1" spans="1:21" ht="26.25" x14ac:dyDescent="0.55000000000000004">
      <c r="A1" s="190" t="s">
        <v>200</v>
      </c>
    </row>
    <row r="2" spans="1:21" ht="21.75" x14ac:dyDescent="0.45">
      <c r="A2" s="209" t="s">
        <v>201</v>
      </c>
    </row>
    <row r="4" spans="1:21" ht="26.25" x14ac:dyDescent="0.55000000000000004">
      <c r="A4" s="210">
        <v>12</v>
      </c>
      <c r="B4" s="26" t="s">
        <v>202</v>
      </c>
    </row>
    <row r="6" spans="1:21" x14ac:dyDescent="0.45">
      <c r="B6" s="256" t="s">
        <v>203</v>
      </c>
      <c r="C6" s="256"/>
      <c r="D6" s="256"/>
      <c r="E6" s="256"/>
      <c r="F6" s="256"/>
      <c r="G6" s="256"/>
      <c r="I6" s="257" t="s">
        <v>204</v>
      </c>
      <c r="J6" s="257"/>
      <c r="K6" s="257"/>
      <c r="L6" s="257"/>
      <c r="M6" s="257"/>
      <c r="N6" s="257"/>
      <c r="P6" s="258" t="s">
        <v>205</v>
      </c>
      <c r="Q6" s="258"/>
      <c r="R6" s="258"/>
      <c r="S6" s="258"/>
      <c r="T6" s="258"/>
      <c r="U6" s="258"/>
    </row>
    <row r="7" spans="1:21" x14ac:dyDescent="0.45">
      <c r="B7" s="259" t="s">
        <v>206</v>
      </c>
      <c r="C7" s="259"/>
      <c r="D7" s="259"/>
      <c r="E7" s="259"/>
      <c r="F7" s="259"/>
      <c r="G7" s="259"/>
      <c r="I7" s="260" t="s">
        <v>207</v>
      </c>
      <c r="J7" s="260"/>
      <c r="K7" s="260"/>
      <c r="L7" s="260"/>
      <c r="M7" s="260"/>
      <c r="N7" s="260"/>
      <c r="P7" s="261" t="s">
        <v>208</v>
      </c>
      <c r="Q7" s="261"/>
      <c r="R7" s="261"/>
      <c r="S7" s="261"/>
      <c r="T7" s="261"/>
      <c r="U7" s="261"/>
    </row>
    <row r="8" spans="1:21" x14ac:dyDescent="0.45">
      <c r="B8" s="252">
        <v>12</v>
      </c>
      <c r="C8" s="252"/>
      <c r="D8" s="252"/>
      <c r="E8" s="252"/>
      <c r="F8" s="252"/>
      <c r="G8" s="252"/>
      <c r="I8" s="253">
        <v>12</v>
      </c>
      <c r="J8" s="253"/>
      <c r="K8" s="253"/>
      <c r="L8" s="253"/>
      <c r="M8" s="253"/>
      <c r="N8" s="253"/>
      <c r="P8" s="254">
        <v>12</v>
      </c>
      <c r="Q8" s="254"/>
      <c r="R8" s="254"/>
      <c r="S8" s="254"/>
      <c r="T8" s="254"/>
      <c r="U8" s="254"/>
    </row>
    <row r="9" spans="1:21" s="81" customFormat="1" ht="63" x14ac:dyDescent="0.25">
      <c r="B9" s="88" t="s">
        <v>209</v>
      </c>
      <c r="C9" s="88" t="s">
        <v>210</v>
      </c>
      <c r="D9" s="88" t="s">
        <v>211</v>
      </c>
      <c r="E9" s="88" t="s">
        <v>212</v>
      </c>
      <c r="F9" s="88" t="s">
        <v>213</v>
      </c>
      <c r="G9" s="88" t="s">
        <v>214</v>
      </c>
      <c r="I9" s="88" t="s">
        <v>209</v>
      </c>
      <c r="J9" s="88" t="s">
        <v>210</v>
      </c>
      <c r="K9" s="88" t="s">
        <v>211</v>
      </c>
      <c r="L9" s="88" t="s">
        <v>212</v>
      </c>
      <c r="M9" s="88" t="s">
        <v>213</v>
      </c>
      <c r="N9" s="88" t="s">
        <v>214</v>
      </c>
      <c r="P9" s="88" t="s">
        <v>209</v>
      </c>
      <c r="Q9" s="88" t="s">
        <v>210</v>
      </c>
      <c r="R9" s="88" t="s">
        <v>211</v>
      </c>
      <c r="S9" s="88" t="s">
        <v>212</v>
      </c>
      <c r="T9" s="88" t="s">
        <v>213</v>
      </c>
      <c r="U9" s="88" t="s">
        <v>214</v>
      </c>
    </row>
    <row r="10" spans="1:21" x14ac:dyDescent="0.45">
      <c r="A10" s="250" t="s">
        <v>990</v>
      </c>
      <c r="B10" s="18" t="s">
        <v>145</v>
      </c>
      <c r="C10" s="18">
        <v>0.33</v>
      </c>
      <c r="D10" s="18" t="s">
        <v>215</v>
      </c>
      <c r="E10" s="19">
        <v>24</v>
      </c>
      <c r="F10" s="19">
        <v>4</v>
      </c>
      <c r="G10" s="19">
        <v>96</v>
      </c>
      <c r="I10" s="18" t="s">
        <v>145</v>
      </c>
      <c r="J10" s="18">
        <v>0.33</v>
      </c>
      <c r="K10" s="18" t="s">
        <v>215</v>
      </c>
      <c r="L10" s="19">
        <v>24</v>
      </c>
      <c r="M10" s="19">
        <v>4</v>
      </c>
      <c r="N10" s="19">
        <v>96</v>
      </c>
      <c r="P10" s="18" t="s">
        <v>145</v>
      </c>
      <c r="Q10" s="18">
        <v>0.33</v>
      </c>
      <c r="R10" s="18" t="s">
        <v>215</v>
      </c>
      <c r="S10" s="19">
        <v>24</v>
      </c>
      <c r="T10" s="19">
        <v>4</v>
      </c>
      <c r="U10" s="19">
        <v>96</v>
      </c>
    </row>
    <row r="11" spans="1:21" x14ac:dyDescent="0.45">
      <c r="A11" s="250"/>
      <c r="B11" s="18" t="s">
        <v>142</v>
      </c>
      <c r="C11" s="18">
        <v>0.25</v>
      </c>
      <c r="D11" s="18" t="s">
        <v>215</v>
      </c>
      <c r="E11" s="19">
        <v>24</v>
      </c>
      <c r="F11" s="19">
        <v>3</v>
      </c>
      <c r="G11" s="19">
        <v>72</v>
      </c>
      <c r="I11" s="18" t="s">
        <v>142</v>
      </c>
      <c r="J11" s="18">
        <v>0.25</v>
      </c>
      <c r="K11" s="18" t="s">
        <v>215</v>
      </c>
      <c r="L11" s="19">
        <v>24</v>
      </c>
      <c r="M11" s="19">
        <v>3</v>
      </c>
      <c r="N11" s="19">
        <v>72</v>
      </c>
      <c r="P11" s="18" t="s">
        <v>142</v>
      </c>
      <c r="Q11" s="18">
        <v>0.25</v>
      </c>
      <c r="R11" s="18" t="s">
        <v>215</v>
      </c>
      <c r="S11" s="19">
        <v>24</v>
      </c>
      <c r="T11" s="19">
        <v>3</v>
      </c>
      <c r="U11" s="19">
        <v>72</v>
      </c>
    </row>
    <row r="12" spans="1:21" x14ac:dyDescent="0.45">
      <c r="A12" s="250"/>
      <c r="B12" s="18" t="s">
        <v>216</v>
      </c>
      <c r="C12" s="18">
        <v>0.33</v>
      </c>
      <c r="D12" s="18" t="s">
        <v>215</v>
      </c>
      <c r="E12" s="19">
        <v>24</v>
      </c>
      <c r="F12" s="19">
        <v>4</v>
      </c>
      <c r="G12" s="19">
        <v>96</v>
      </c>
      <c r="I12" s="18" t="s">
        <v>216</v>
      </c>
      <c r="J12" s="18">
        <v>0.33</v>
      </c>
      <c r="K12" s="18" t="s">
        <v>217</v>
      </c>
      <c r="L12" s="19">
        <v>120</v>
      </c>
      <c r="M12" s="19">
        <v>4</v>
      </c>
      <c r="N12" s="19">
        <v>480</v>
      </c>
      <c r="P12" s="18" t="s">
        <v>216</v>
      </c>
      <c r="Q12" s="211">
        <v>0.5</v>
      </c>
      <c r="R12" s="18" t="s">
        <v>217</v>
      </c>
      <c r="S12" s="19">
        <v>120</v>
      </c>
      <c r="T12" s="19">
        <v>6</v>
      </c>
      <c r="U12" s="19">
        <v>720</v>
      </c>
    </row>
    <row r="13" spans="1:21" x14ac:dyDescent="0.45">
      <c r="A13" s="250"/>
      <c r="B13" s="18" t="s">
        <v>143</v>
      </c>
      <c r="C13" s="211">
        <v>0.12589928057553956</v>
      </c>
      <c r="D13" s="18" t="s">
        <v>215</v>
      </c>
      <c r="E13" s="19">
        <v>24</v>
      </c>
      <c r="F13" s="19">
        <v>2</v>
      </c>
      <c r="G13" s="19">
        <v>48</v>
      </c>
      <c r="I13" s="18" t="s">
        <v>143</v>
      </c>
      <c r="J13" s="211">
        <v>0.12589928057553956</v>
      </c>
      <c r="K13" s="18" t="s">
        <v>215</v>
      </c>
      <c r="L13" s="19">
        <v>24</v>
      </c>
      <c r="M13" s="19">
        <v>2</v>
      </c>
      <c r="N13" s="19">
        <v>48</v>
      </c>
      <c r="P13" s="18" t="s">
        <v>218</v>
      </c>
      <c r="Q13" s="211">
        <v>0.25179856115107913</v>
      </c>
      <c r="R13" s="18" t="s">
        <v>215</v>
      </c>
      <c r="S13" s="19">
        <v>24</v>
      </c>
      <c r="T13" s="19">
        <v>4</v>
      </c>
      <c r="U13" s="19">
        <v>96</v>
      </c>
    </row>
    <row r="14" spans="1:21" x14ac:dyDescent="0.45">
      <c r="A14" s="250"/>
      <c r="B14" s="18" t="s">
        <v>219</v>
      </c>
      <c r="C14" s="211">
        <v>0.11</v>
      </c>
      <c r="D14" s="18" t="s">
        <v>217</v>
      </c>
      <c r="E14" s="19">
        <v>120</v>
      </c>
      <c r="F14" s="19">
        <v>1</v>
      </c>
      <c r="G14" s="19">
        <v>120</v>
      </c>
      <c r="I14" s="18" t="s">
        <v>220</v>
      </c>
      <c r="J14" s="211">
        <v>0.15107913669064749</v>
      </c>
      <c r="K14" s="18" t="s">
        <v>217</v>
      </c>
      <c r="L14" s="19">
        <v>120</v>
      </c>
      <c r="M14" s="19">
        <v>2</v>
      </c>
      <c r="N14" s="19">
        <v>240</v>
      </c>
      <c r="P14" s="18" t="s">
        <v>220</v>
      </c>
      <c r="Q14" s="211">
        <v>0.15107913669064749</v>
      </c>
      <c r="R14" s="18" t="s">
        <v>217</v>
      </c>
      <c r="S14" s="19">
        <v>120</v>
      </c>
      <c r="T14" s="19">
        <v>2</v>
      </c>
      <c r="U14" s="19">
        <v>240</v>
      </c>
    </row>
    <row r="15" spans="1:21" x14ac:dyDescent="0.45">
      <c r="A15" s="250"/>
      <c r="B15" s="18" t="s">
        <v>988</v>
      </c>
      <c r="C15" s="211">
        <v>0.11510791366906475</v>
      </c>
      <c r="D15" s="18" t="s">
        <v>215</v>
      </c>
      <c r="E15" s="19">
        <v>24</v>
      </c>
      <c r="F15" s="19">
        <v>2</v>
      </c>
      <c r="G15" s="19">
        <v>48</v>
      </c>
      <c r="I15" s="18" t="s">
        <v>988</v>
      </c>
      <c r="J15" s="211">
        <v>0.11510791366906475</v>
      </c>
      <c r="K15" s="212" t="s">
        <v>215</v>
      </c>
      <c r="L15" s="19">
        <v>24</v>
      </c>
      <c r="M15" s="19">
        <v>2</v>
      </c>
      <c r="N15" s="19">
        <v>48</v>
      </c>
      <c r="P15" s="18" t="s">
        <v>988</v>
      </c>
      <c r="Q15" s="211">
        <v>0.11510791366906475</v>
      </c>
      <c r="R15" s="18" t="s">
        <v>221</v>
      </c>
      <c r="S15" s="19" t="e">
        <v>#N/A</v>
      </c>
      <c r="T15" s="19">
        <v>2</v>
      </c>
      <c r="U15" s="19" t="e">
        <v>#N/A</v>
      </c>
    </row>
    <row r="16" spans="1:21" ht="21" customHeight="1" x14ac:dyDescent="0.45">
      <c r="A16" s="251" t="s">
        <v>991</v>
      </c>
      <c r="B16" s="18" t="s">
        <v>222</v>
      </c>
      <c r="C16" s="211">
        <v>0.78</v>
      </c>
      <c r="D16" s="212" t="s">
        <v>215</v>
      </c>
      <c r="E16" s="19">
        <v>24</v>
      </c>
      <c r="F16" s="19">
        <v>10</v>
      </c>
      <c r="G16" s="19">
        <v>240</v>
      </c>
      <c r="I16" s="18" t="s">
        <v>222</v>
      </c>
      <c r="J16" s="211">
        <v>0.75</v>
      </c>
      <c r="K16" s="212" t="s">
        <v>215</v>
      </c>
      <c r="L16" s="19">
        <v>24</v>
      </c>
      <c r="M16" s="19">
        <v>9</v>
      </c>
      <c r="N16" s="19">
        <v>216</v>
      </c>
      <c r="P16" s="18" t="s">
        <v>222</v>
      </c>
      <c r="Q16" s="211">
        <v>0.75</v>
      </c>
      <c r="R16" s="212" t="s">
        <v>215</v>
      </c>
      <c r="S16" s="19">
        <v>24</v>
      </c>
      <c r="T16" s="19">
        <v>9</v>
      </c>
      <c r="U16" s="19">
        <v>216</v>
      </c>
    </row>
    <row r="17" spans="1:21" x14ac:dyDescent="0.45">
      <c r="A17" s="251"/>
      <c r="B17" s="18" t="s">
        <v>223</v>
      </c>
      <c r="C17" s="211">
        <v>0.23</v>
      </c>
      <c r="D17" s="212" t="s">
        <v>215</v>
      </c>
      <c r="E17" s="19">
        <v>24</v>
      </c>
      <c r="F17" s="19">
        <v>3</v>
      </c>
      <c r="G17" s="19">
        <v>72</v>
      </c>
      <c r="I17" s="18" t="s">
        <v>223</v>
      </c>
      <c r="J17" s="211">
        <v>0.25</v>
      </c>
      <c r="K17" s="212" t="s">
        <v>215</v>
      </c>
      <c r="L17" s="19">
        <v>24</v>
      </c>
      <c r="M17" s="19">
        <v>3</v>
      </c>
      <c r="N17" s="19">
        <v>72</v>
      </c>
      <c r="P17" s="18" t="s">
        <v>223</v>
      </c>
      <c r="Q17" s="211">
        <v>0.25</v>
      </c>
      <c r="R17" s="212" t="s">
        <v>215</v>
      </c>
      <c r="S17" s="19">
        <v>24</v>
      </c>
      <c r="T17" s="19">
        <v>3</v>
      </c>
      <c r="U17" s="19">
        <v>72</v>
      </c>
    </row>
    <row r="18" spans="1:21" x14ac:dyDescent="0.45">
      <c r="A18" s="251"/>
      <c r="B18" s="18" t="s">
        <v>989</v>
      </c>
      <c r="C18" s="211">
        <v>0.06</v>
      </c>
      <c r="D18" s="212" t="s">
        <v>215</v>
      </c>
      <c r="E18" s="19">
        <v>24</v>
      </c>
      <c r="F18" s="19">
        <v>1</v>
      </c>
      <c r="G18" s="19">
        <v>24</v>
      </c>
      <c r="I18" s="18" t="s">
        <v>989</v>
      </c>
      <c r="J18" s="211">
        <v>0.25</v>
      </c>
      <c r="K18" s="212" t="s">
        <v>215</v>
      </c>
      <c r="L18" s="19">
        <v>24</v>
      </c>
      <c r="M18" s="19">
        <v>3</v>
      </c>
      <c r="N18" s="19">
        <v>72</v>
      </c>
      <c r="P18" s="18" t="s">
        <v>989</v>
      </c>
      <c r="Q18" s="211">
        <v>0.25</v>
      </c>
      <c r="R18" s="212" t="s">
        <v>215</v>
      </c>
      <c r="S18" s="19">
        <v>24</v>
      </c>
      <c r="T18" s="19">
        <v>3</v>
      </c>
      <c r="U18" s="19">
        <v>72</v>
      </c>
    </row>
    <row r="19" spans="1:21" ht="21" customHeight="1" x14ac:dyDescent="0.45">
      <c r="A19" s="251"/>
      <c r="B19" s="18" t="s">
        <v>984</v>
      </c>
      <c r="C19" s="211">
        <v>0.24</v>
      </c>
      <c r="D19" s="212" t="s">
        <v>215</v>
      </c>
      <c r="E19" s="19">
        <v>24</v>
      </c>
      <c r="F19" s="19">
        <v>3</v>
      </c>
      <c r="G19" s="19">
        <v>72</v>
      </c>
      <c r="I19" s="18" t="s">
        <v>224</v>
      </c>
      <c r="J19" s="211">
        <v>0</v>
      </c>
      <c r="K19" s="212" t="s">
        <v>19</v>
      </c>
      <c r="L19" s="19">
        <v>0</v>
      </c>
      <c r="M19" s="19">
        <v>0</v>
      </c>
      <c r="N19" s="19">
        <v>0</v>
      </c>
      <c r="P19" s="18" t="s">
        <v>224</v>
      </c>
      <c r="Q19" s="211">
        <v>0</v>
      </c>
      <c r="R19" s="212" t="s">
        <v>19</v>
      </c>
      <c r="S19" s="19">
        <v>0</v>
      </c>
      <c r="T19" s="19">
        <v>0</v>
      </c>
      <c r="U19" s="19">
        <v>0</v>
      </c>
    </row>
    <row r="20" spans="1:21" x14ac:dyDescent="0.45">
      <c r="E20" s="19"/>
      <c r="F20" s="19"/>
      <c r="G20" s="19"/>
      <c r="L20" s="19"/>
      <c r="M20" s="19"/>
      <c r="N20" s="19"/>
      <c r="S20" s="19"/>
      <c r="T20" s="19"/>
      <c r="U20" s="19"/>
    </row>
    <row r="21" spans="1:21" x14ac:dyDescent="0.45">
      <c r="B21" s="213" t="s">
        <v>34</v>
      </c>
      <c r="C21" s="235">
        <v>2.5710071942446051</v>
      </c>
      <c r="D21" s="215">
        <v>0</v>
      </c>
      <c r="E21" s="215">
        <v>0</v>
      </c>
      <c r="F21" s="215">
        <v>33</v>
      </c>
      <c r="G21" s="215">
        <v>888</v>
      </c>
      <c r="I21" s="213" t="s">
        <v>34</v>
      </c>
      <c r="J21" s="214">
        <v>2.5520863309352517</v>
      </c>
      <c r="K21" s="215">
        <v>0</v>
      </c>
      <c r="L21" s="215">
        <v>0</v>
      </c>
      <c r="M21" s="215">
        <v>32</v>
      </c>
      <c r="N21" s="215">
        <v>1344</v>
      </c>
      <c r="P21" s="213" t="s">
        <v>34</v>
      </c>
      <c r="Q21" s="214">
        <v>2.8479856115107913</v>
      </c>
      <c r="R21" s="215">
        <v>0</v>
      </c>
      <c r="S21" s="215">
        <v>0</v>
      </c>
      <c r="T21" s="215">
        <v>36</v>
      </c>
      <c r="U21" s="215" t="e">
        <v>#N/A</v>
      </c>
    </row>
    <row r="22" spans="1:21" x14ac:dyDescent="0.45">
      <c r="C22" s="216"/>
      <c r="F22" s="99"/>
    </row>
    <row r="23" spans="1:21" x14ac:dyDescent="0.45">
      <c r="F23" s="255" t="s">
        <v>225</v>
      </c>
      <c r="G23" s="255"/>
      <c r="M23" s="255" t="s">
        <v>34</v>
      </c>
      <c r="N23" s="255"/>
      <c r="T23" s="255" t="s">
        <v>34</v>
      </c>
      <c r="U23" s="255"/>
    </row>
    <row r="24" spans="1:21" x14ac:dyDescent="0.45">
      <c r="F24" s="99" t="s">
        <v>217</v>
      </c>
      <c r="G24" s="18">
        <v>1</v>
      </c>
      <c r="M24" s="99" t="s">
        <v>217</v>
      </c>
      <c r="N24" s="18">
        <v>6</v>
      </c>
      <c r="T24" s="99" t="s">
        <v>217</v>
      </c>
      <c r="U24" s="18">
        <v>8</v>
      </c>
    </row>
    <row r="25" spans="1:21" x14ac:dyDescent="0.45">
      <c r="F25" s="99" t="s">
        <v>215</v>
      </c>
      <c r="G25" s="18">
        <v>32</v>
      </c>
      <c r="M25" s="99" t="s">
        <v>215</v>
      </c>
      <c r="N25" s="18">
        <v>26</v>
      </c>
      <c r="T25" s="99" t="s">
        <v>215</v>
      </c>
      <c r="U25" s="18">
        <v>26</v>
      </c>
    </row>
    <row r="26" spans="1:21" x14ac:dyDescent="0.45">
      <c r="F26" s="99"/>
      <c r="M26" s="99" t="s">
        <v>221</v>
      </c>
      <c r="N26" s="18">
        <v>0</v>
      </c>
      <c r="T26" s="99" t="s">
        <v>221</v>
      </c>
      <c r="U26" s="18">
        <v>2</v>
      </c>
    </row>
    <row r="28" spans="1:21" x14ac:dyDescent="0.45">
      <c r="B28" s="217" t="s">
        <v>226</v>
      </c>
      <c r="C28" s="217" t="s">
        <v>227</v>
      </c>
    </row>
    <row r="29" spans="1:21" x14ac:dyDescent="0.45">
      <c r="B29" s="18" t="s">
        <v>217</v>
      </c>
      <c r="C29" s="18">
        <v>120</v>
      </c>
    </row>
    <row r="30" spans="1:21" x14ac:dyDescent="0.45">
      <c r="B30" s="18" t="s">
        <v>215</v>
      </c>
      <c r="C30" s="218">
        <v>24</v>
      </c>
    </row>
    <row r="31" spans="1:21" x14ac:dyDescent="0.45">
      <c r="B31" s="18" t="s">
        <v>215</v>
      </c>
      <c r="C31" s="18">
        <v>24</v>
      </c>
    </row>
  </sheetData>
  <mergeCells count="14">
    <mergeCell ref="F23:G23"/>
    <mergeCell ref="M23:N23"/>
    <mergeCell ref="T23:U23"/>
    <mergeCell ref="B6:G6"/>
    <mergeCell ref="I6:N6"/>
    <mergeCell ref="P6:U6"/>
    <mergeCell ref="B7:G7"/>
    <mergeCell ref="I7:N7"/>
    <mergeCell ref="P7:U7"/>
    <mergeCell ref="A10:A15"/>
    <mergeCell ref="A16:A19"/>
    <mergeCell ref="B8:G8"/>
    <mergeCell ref="I8:N8"/>
    <mergeCell ref="P8:U8"/>
  </mergeCells>
  <pageMargins left="0.25" right="0.25" top="0.25" bottom="0.25" header="0" footer="0"/>
  <pageSetup paperSize="119" scale="79"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sheetPr>
  <dimension ref="A2:F29"/>
  <sheetViews>
    <sheetView workbookViewId="0">
      <selection activeCell="H24" sqref="H24"/>
    </sheetView>
  </sheetViews>
  <sheetFormatPr defaultColWidth="9.140625" defaultRowHeight="21" x14ac:dyDescent="0.45"/>
  <cols>
    <col min="1" max="1" width="3.140625" style="19" customWidth="1"/>
    <col min="2" max="2" width="72.85546875" style="19" bestFit="1" customWidth="1"/>
    <col min="3" max="4" width="23.85546875" style="19" customWidth="1"/>
    <col min="5" max="16384" width="9.140625" style="19"/>
  </cols>
  <sheetData>
    <row r="2" spans="1:4" s="228" customFormat="1" x14ac:dyDescent="0.25">
      <c r="C2" s="89" t="s">
        <v>165</v>
      </c>
      <c r="D2" s="229" t="s">
        <v>166</v>
      </c>
    </row>
    <row r="3" spans="1:4" s="165" customFormat="1" x14ac:dyDescent="0.45">
      <c r="A3" s="192" t="s">
        <v>167</v>
      </c>
      <c r="B3" s="193"/>
      <c r="C3" s="193"/>
      <c r="D3" s="196"/>
    </row>
    <row r="4" spans="1:4" x14ac:dyDescent="0.45">
      <c r="B4" s="19" t="s">
        <v>168</v>
      </c>
      <c r="C4" s="19">
        <v>48</v>
      </c>
      <c r="D4" s="197">
        <v>48</v>
      </c>
    </row>
    <row r="5" spans="1:4" x14ac:dyDescent="0.45">
      <c r="B5" s="19" t="s">
        <v>169</v>
      </c>
      <c r="C5" s="19">
        <v>5</v>
      </c>
      <c r="D5" s="230">
        <v>6</v>
      </c>
    </row>
    <row r="6" spans="1:4" x14ac:dyDescent="0.45">
      <c r="B6" s="19" t="s">
        <v>170</v>
      </c>
      <c r="C6" s="19">
        <v>240</v>
      </c>
      <c r="D6" s="197">
        <v>288</v>
      </c>
    </row>
    <row r="7" spans="1:4" x14ac:dyDescent="0.45">
      <c r="D7" s="197"/>
    </row>
    <row r="8" spans="1:4" x14ac:dyDescent="0.45">
      <c r="A8" s="192" t="s">
        <v>171</v>
      </c>
      <c r="B8" s="193"/>
      <c r="C8" s="193"/>
      <c r="D8" s="196"/>
    </row>
    <row r="9" spans="1:4" x14ac:dyDescent="0.45">
      <c r="B9" s="19" t="s">
        <v>172</v>
      </c>
      <c r="C9" s="19">
        <v>175000</v>
      </c>
      <c r="D9" s="230">
        <v>355009</v>
      </c>
    </row>
    <row r="10" spans="1:4" x14ac:dyDescent="0.45">
      <c r="B10" s="19" t="s">
        <v>173</v>
      </c>
      <c r="C10" s="19">
        <v>729.16666666666663</v>
      </c>
      <c r="D10" s="197">
        <v>1232.6701388888889</v>
      </c>
    </row>
    <row r="11" spans="1:4" x14ac:dyDescent="0.45">
      <c r="B11" s="19" t="s">
        <v>174</v>
      </c>
      <c r="C11" s="19">
        <v>3</v>
      </c>
      <c r="D11" s="231">
        <v>3.5</v>
      </c>
    </row>
    <row r="12" spans="1:4" x14ac:dyDescent="0.45">
      <c r="B12" s="19" t="s">
        <v>175</v>
      </c>
      <c r="C12" s="19">
        <v>243.05555555555554</v>
      </c>
      <c r="D12" s="197">
        <v>352.19146825396825</v>
      </c>
    </row>
    <row r="13" spans="1:4" x14ac:dyDescent="0.45">
      <c r="B13" s="19" t="s">
        <v>176</v>
      </c>
      <c r="C13" s="82">
        <v>1.25</v>
      </c>
      <c r="D13" s="198">
        <v>1.25</v>
      </c>
    </row>
    <row r="14" spans="1:4" x14ac:dyDescent="0.45">
      <c r="B14" s="191" t="s">
        <v>177</v>
      </c>
      <c r="C14" s="141">
        <v>546.875</v>
      </c>
      <c r="D14" s="223">
        <v>792.43080357142856</v>
      </c>
    </row>
    <row r="15" spans="1:4" x14ac:dyDescent="0.45">
      <c r="D15" s="197"/>
    </row>
    <row r="16" spans="1:4" x14ac:dyDescent="0.45">
      <c r="A16" s="192" t="s">
        <v>178</v>
      </c>
      <c r="B16" s="193"/>
      <c r="C16" s="193"/>
      <c r="D16" s="196"/>
    </row>
    <row r="17" spans="2:6" x14ac:dyDescent="0.45">
      <c r="B17" s="19" t="s">
        <v>10</v>
      </c>
      <c r="C17" s="19">
        <v>175</v>
      </c>
      <c r="D17" s="197">
        <v>350</v>
      </c>
    </row>
    <row r="18" spans="2:6" s="202" customFormat="1" ht="42" x14ac:dyDescent="0.25">
      <c r="B18" s="203" t="s">
        <v>179</v>
      </c>
      <c r="C18" s="204">
        <v>2.1785714285714288</v>
      </c>
      <c r="D18" s="205">
        <v>2.5710071942446051</v>
      </c>
    </row>
    <row r="19" spans="2:6" x14ac:dyDescent="0.45">
      <c r="B19" s="19" t="s">
        <v>180</v>
      </c>
      <c r="C19" s="19">
        <v>381.25000000000006</v>
      </c>
      <c r="D19" s="197">
        <v>899.85251798561183</v>
      </c>
    </row>
    <row r="20" spans="2:6" x14ac:dyDescent="0.45">
      <c r="B20" s="19" t="s">
        <v>181</v>
      </c>
      <c r="C20" s="19">
        <v>50</v>
      </c>
      <c r="D20" s="197">
        <v>0</v>
      </c>
    </row>
    <row r="21" spans="2:6" x14ac:dyDescent="0.45">
      <c r="B21" s="19" t="s">
        <v>182</v>
      </c>
      <c r="C21" s="19">
        <v>32</v>
      </c>
      <c r="D21" s="197">
        <v>47</v>
      </c>
    </row>
    <row r="22" spans="2:6" x14ac:dyDescent="0.45">
      <c r="B22" s="206" t="s">
        <v>183</v>
      </c>
      <c r="C22" s="207">
        <v>2</v>
      </c>
      <c r="D22" s="208">
        <v>5</v>
      </c>
    </row>
    <row r="23" spans="2:6" x14ac:dyDescent="0.45">
      <c r="B23" s="206" t="s">
        <v>184</v>
      </c>
      <c r="C23" s="207">
        <v>2</v>
      </c>
      <c r="D23" s="208">
        <v>5</v>
      </c>
    </row>
    <row r="24" spans="2:6" x14ac:dyDescent="0.45">
      <c r="B24" s="206" t="s">
        <v>185</v>
      </c>
      <c r="C24" s="207">
        <v>8</v>
      </c>
      <c r="D24" s="208">
        <v>12</v>
      </c>
    </row>
    <row r="25" spans="2:6" x14ac:dyDescent="0.45">
      <c r="B25" s="206" t="s">
        <v>186</v>
      </c>
      <c r="C25" s="207">
        <v>10</v>
      </c>
      <c r="D25" s="208">
        <v>15</v>
      </c>
    </row>
    <row r="26" spans="2:6" x14ac:dyDescent="0.45">
      <c r="B26" s="206" t="s">
        <v>144</v>
      </c>
      <c r="C26" s="207">
        <v>10</v>
      </c>
      <c r="D26" s="208">
        <v>10</v>
      </c>
    </row>
    <row r="27" spans="2:6" x14ac:dyDescent="0.45">
      <c r="B27" s="191" t="s">
        <v>187</v>
      </c>
      <c r="C27" s="141">
        <v>463.25000000000006</v>
      </c>
      <c r="D27" s="223">
        <v>946.85251798561183</v>
      </c>
    </row>
    <row r="28" spans="2:6" x14ac:dyDescent="0.45">
      <c r="D28" s="197"/>
    </row>
    <row r="29" spans="2:6" x14ac:dyDescent="0.45">
      <c r="B29" s="194" t="s">
        <v>188</v>
      </c>
      <c r="C29" s="195">
        <v>1010.125</v>
      </c>
      <c r="D29" s="199">
        <v>1739.2833215570404</v>
      </c>
      <c r="F29" s="37">
        <v>0.72184959441360264</v>
      </c>
    </row>
  </sheetData>
  <pageMargins left="0.7" right="0.7" top="0.75" bottom="0.75" header="0.3" footer="0.3"/>
  <pageSetup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sheetPr>
  <dimension ref="F1:X20"/>
  <sheetViews>
    <sheetView workbookViewId="0">
      <selection activeCell="C30" sqref="C30"/>
    </sheetView>
  </sheetViews>
  <sheetFormatPr defaultColWidth="9.140625" defaultRowHeight="21" x14ac:dyDescent="0.45"/>
  <cols>
    <col min="1" max="5" width="3" style="18" customWidth="1"/>
    <col min="6" max="22" width="8.42578125" style="18" customWidth="1"/>
    <col min="23" max="23" width="6.42578125" style="18" customWidth="1"/>
    <col min="24" max="16384" width="9.140625" style="18"/>
  </cols>
  <sheetData>
    <row r="1" spans="6:24" x14ac:dyDescent="0.45">
      <c r="X1" s="18" t="s">
        <v>189</v>
      </c>
    </row>
    <row r="2" spans="6:24" x14ac:dyDescent="0.45">
      <c r="F2" s="176" t="s">
        <v>190</v>
      </c>
      <c r="G2" s="176"/>
      <c r="H2" s="176" t="s">
        <v>191</v>
      </c>
      <c r="I2" s="176"/>
      <c r="J2" s="176" t="s">
        <v>192</v>
      </c>
      <c r="K2" s="176"/>
      <c r="L2" s="176" t="s">
        <v>193</v>
      </c>
      <c r="M2" s="176"/>
      <c r="N2" s="176" t="s">
        <v>194</v>
      </c>
      <c r="O2" s="176"/>
      <c r="P2" s="176" t="s">
        <v>195</v>
      </c>
      <c r="Q2" s="176"/>
      <c r="R2" s="176" t="s">
        <v>196</v>
      </c>
      <c r="S2" s="176"/>
      <c r="T2" s="176" t="s">
        <v>197</v>
      </c>
      <c r="U2" s="176"/>
      <c r="V2" s="176" t="s">
        <v>198</v>
      </c>
    </row>
    <row r="3" spans="6:24" ht="36.75" customHeight="1" x14ac:dyDescent="0.45">
      <c r="F3" s="266" t="s">
        <v>199</v>
      </c>
      <c r="G3" s="267"/>
      <c r="K3" s="266" t="s">
        <v>199</v>
      </c>
      <c r="L3" s="267"/>
      <c r="Q3" s="266" t="s">
        <v>199</v>
      </c>
      <c r="R3" s="267"/>
      <c r="U3" s="266" t="s">
        <v>199</v>
      </c>
      <c r="V3" s="267"/>
    </row>
    <row r="5" spans="6:24" x14ac:dyDescent="0.45">
      <c r="F5" s="18">
        <v>1</v>
      </c>
      <c r="G5" s="18">
        <v>2</v>
      </c>
      <c r="H5" s="18">
        <v>3</v>
      </c>
      <c r="I5" s="18">
        <v>4</v>
      </c>
      <c r="J5" s="18">
        <v>5</v>
      </c>
      <c r="K5" s="18">
        <v>6</v>
      </c>
      <c r="L5" s="18">
        <v>7</v>
      </c>
      <c r="M5" s="18">
        <v>8</v>
      </c>
      <c r="N5" s="18">
        <v>9</v>
      </c>
      <c r="O5" s="18">
        <v>19</v>
      </c>
      <c r="P5" s="18">
        <v>11</v>
      </c>
      <c r="Q5" s="18">
        <v>12</v>
      </c>
      <c r="R5" s="18">
        <v>13</v>
      </c>
      <c r="S5" s="18">
        <v>14</v>
      </c>
      <c r="T5" s="18">
        <v>15</v>
      </c>
      <c r="U5" s="18">
        <v>16</v>
      </c>
      <c r="V5" s="18">
        <v>17</v>
      </c>
      <c r="X5" s="18">
        <f>8/(COUNT(F5:V5))</f>
        <v>0.47058823529411764</v>
      </c>
    </row>
    <row r="7" spans="6:24" x14ac:dyDescent="0.45">
      <c r="F7" s="176" t="s">
        <v>190</v>
      </c>
      <c r="G7" s="176"/>
      <c r="H7" s="176" t="s">
        <v>191</v>
      </c>
      <c r="I7" s="176"/>
      <c r="J7" s="176" t="s">
        <v>192</v>
      </c>
      <c r="K7" s="176"/>
      <c r="L7" s="176" t="s">
        <v>193</v>
      </c>
      <c r="M7" s="176"/>
      <c r="N7" s="176" t="s">
        <v>194</v>
      </c>
      <c r="O7" s="176"/>
      <c r="P7" s="176" t="s">
        <v>195</v>
      </c>
      <c r="Q7" s="176"/>
      <c r="R7" s="176" t="s">
        <v>196</v>
      </c>
      <c r="S7" s="176"/>
      <c r="T7" s="176" t="s">
        <v>197</v>
      </c>
      <c r="U7" s="176"/>
      <c r="V7" s="176" t="s">
        <v>198</v>
      </c>
    </row>
    <row r="8" spans="6:24" ht="36.75" customHeight="1" x14ac:dyDescent="0.45">
      <c r="F8" s="264" t="s">
        <v>199</v>
      </c>
      <c r="G8" s="265"/>
      <c r="J8" s="264" t="s">
        <v>199</v>
      </c>
      <c r="K8" s="265"/>
      <c r="N8" s="264" t="s">
        <v>199</v>
      </c>
      <c r="O8" s="265"/>
      <c r="R8" s="264" t="s">
        <v>199</v>
      </c>
      <c r="S8" s="265"/>
      <c r="U8" s="264" t="s">
        <v>199</v>
      </c>
      <c r="V8" s="265"/>
    </row>
    <row r="10" spans="6:24" x14ac:dyDescent="0.45">
      <c r="F10" s="18">
        <v>1</v>
      </c>
      <c r="G10" s="18">
        <v>2</v>
      </c>
      <c r="H10" s="18">
        <v>3</v>
      </c>
      <c r="I10" s="18">
        <v>4</v>
      </c>
      <c r="J10" s="18">
        <v>5</v>
      </c>
      <c r="K10" s="18">
        <v>6</v>
      </c>
      <c r="L10" s="18">
        <v>7</v>
      </c>
      <c r="M10" s="18">
        <v>8</v>
      </c>
      <c r="N10" s="18">
        <v>9</v>
      </c>
      <c r="O10" s="18">
        <v>19</v>
      </c>
      <c r="P10" s="18">
        <v>11</v>
      </c>
      <c r="Q10" s="18">
        <v>12</v>
      </c>
      <c r="R10" s="18">
        <v>13</v>
      </c>
      <c r="S10" s="18">
        <v>14</v>
      </c>
      <c r="T10" s="18">
        <v>15</v>
      </c>
      <c r="U10" s="18">
        <v>16</v>
      </c>
      <c r="V10" s="18">
        <v>17</v>
      </c>
      <c r="X10" s="18">
        <f>10/(COUNT(F10:V10))</f>
        <v>0.58823529411764708</v>
      </c>
    </row>
    <row r="12" spans="6:24" s="176" customFormat="1" x14ac:dyDescent="0.25">
      <c r="F12" s="176" t="s">
        <v>190</v>
      </c>
      <c r="H12" s="176" t="s">
        <v>191</v>
      </c>
      <c r="J12" s="176" t="s">
        <v>192</v>
      </c>
      <c r="L12" s="176" t="s">
        <v>193</v>
      </c>
      <c r="N12" s="176" t="s">
        <v>194</v>
      </c>
      <c r="P12" s="176" t="s">
        <v>195</v>
      </c>
      <c r="R12" s="176" t="s">
        <v>196</v>
      </c>
      <c r="T12" s="176" t="s">
        <v>197</v>
      </c>
      <c r="V12" s="176" t="s">
        <v>198</v>
      </c>
    </row>
    <row r="13" spans="6:24" ht="37.5" customHeight="1" x14ac:dyDescent="0.45">
      <c r="F13" s="262" t="s">
        <v>199</v>
      </c>
      <c r="G13" s="263"/>
      <c r="I13" s="262" t="s">
        <v>199</v>
      </c>
      <c r="J13" s="263"/>
      <c r="L13" s="262" t="s">
        <v>199</v>
      </c>
      <c r="M13" s="263"/>
      <c r="O13" s="262" t="s">
        <v>199</v>
      </c>
      <c r="P13" s="263"/>
      <c r="R13" s="262" t="s">
        <v>199</v>
      </c>
      <c r="S13" s="263"/>
      <c r="U13" s="262" t="s">
        <v>199</v>
      </c>
      <c r="V13" s="263"/>
    </row>
    <row r="15" spans="6:24" x14ac:dyDescent="0.45">
      <c r="F15" s="18">
        <v>1</v>
      </c>
      <c r="G15" s="18">
        <v>2</v>
      </c>
      <c r="H15" s="18">
        <v>3</v>
      </c>
      <c r="I15" s="18">
        <v>4</v>
      </c>
      <c r="J15" s="18">
        <v>5</v>
      </c>
      <c r="K15" s="18">
        <v>6</v>
      </c>
      <c r="L15" s="18">
        <v>7</v>
      </c>
      <c r="M15" s="18">
        <v>8</v>
      </c>
      <c r="N15" s="18">
        <v>9</v>
      </c>
      <c r="O15" s="18">
        <v>19</v>
      </c>
      <c r="P15" s="18">
        <v>11</v>
      </c>
      <c r="Q15" s="18">
        <v>12</v>
      </c>
      <c r="R15" s="18">
        <v>13</v>
      </c>
      <c r="S15" s="18">
        <v>14</v>
      </c>
      <c r="T15" s="18">
        <v>15</v>
      </c>
      <c r="U15" s="18">
        <v>16</v>
      </c>
      <c r="V15" s="18">
        <v>17</v>
      </c>
      <c r="X15" s="18">
        <f>12/(COUNT(F15:V15))</f>
        <v>0.70588235294117652</v>
      </c>
    </row>
    <row r="20" ht="37.5" customHeight="1" x14ac:dyDescent="0.45"/>
  </sheetData>
  <mergeCells count="15">
    <mergeCell ref="U8:V8"/>
    <mergeCell ref="J8:K8"/>
    <mergeCell ref="N8:O8"/>
    <mergeCell ref="F3:G3"/>
    <mergeCell ref="U3:V3"/>
    <mergeCell ref="K3:L3"/>
    <mergeCell ref="Q3:R3"/>
    <mergeCell ref="F8:G8"/>
    <mergeCell ref="R8:S8"/>
    <mergeCell ref="F13:G13"/>
    <mergeCell ref="U13:V13"/>
    <mergeCell ref="R13:S13"/>
    <mergeCell ref="O13:P13"/>
    <mergeCell ref="L13:M13"/>
    <mergeCell ref="I13:J13"/>
  </mergeCells>
  <pageMargins left="0.7" right="0.7" top="0.75" bottom="0.75" header="0.3" footer="0.3"/>
  <pageSetup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sheetPr>
  <dimension ref="A1"/>
  <sheetViews>
    <sheetView workbookViewId="0">
      <selection activeCell="M37" sqref="M37"/>
    </sheetView>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sheetPr>
  <dimension ref="A1:I138"/>
  <sheetViews>
    <sheetView zoomScale="80" zoomScaleNormal="80" workbookViewId="0">
      <pane ySplit="1" topLeftCell="A11" activePane="bottomLeft" state="frozen"/>
      <selection pane="bottomLeft" activeCell="H42" sqref="H42"/>
    </sheetView>
  </sheetViews>
  <sheetFormatPr defaultColWidth="9.140625" defaultRowHeight="21" x14ac:dyDescent="0.45"/>
  <cols>
    <col min="1" max="1" width="22.5703125" style="18" bestFit="1" customWidth="1"/>
    <col min="2" max="2" width="45" style="18" bestFit="1" customWidth="1"/>
    <col min="3" max="3" width="54.140625" style="18" bestFit="1" customWidth="1"/>
    <col min="4" max="4" width="24.5703125" style="19" customWidth="1"/>
    <col min="5" max="5" width="14.7109375" style="19" customWidth="1"/>
    <col min="6" max="6" width="9.140625" style="18"/>
    <col min="7" max="7" width="13" style="19" bestFit="1" customWidth="1"/>
    <col min="8" max="8" width="10.85546875" style="19" bestFit="1" customWidth="1"/>
    <col min="9" max="9" width="20.7109375" style="19" customWidth="1"/>
    <col min="10" max="16384" width="9.140625" style="18"/>
  </cols>
  <sheetData>
    <row r="1" spans="1:9" s="88" customFormat="1" ht="38.25" customHeight="1" x14ac:dyDescent="0.25">
      <c r="A1" s="88" t="s">
        <v>339</v>
      </c>
      <c r="B1" s="88" t="s">
        <v>340</v>
      </c>
      <c r="C1" s="88" t="s">
        <v>341</v>
      </c>
      <c r="D1" s="89" t="s">
        <v>341</v>
      </c>
      <c r="E1" s="89" t="s">
        <v>342</v>
      </c>
      <c r="G1" s="89" t="s">
        <v>343</v>
      </c>
      <c r="H1" s="89" t="s">
        <v>28</v>
      </c>
      <c r="I1" s="89" t="s">
        <v>344</v>
      </c>
    </row>
    <row r="2" spans="1:9" x14ac:dyDescent="0.45">
      <c r="A2" s="18" t="s">
        <v>17</v>
      </c>
      <c r="B2" s="18" t="s">
        <v>17</v>
      </c>
      <c r="C2" s="18" t="s">
        <v>345</v>
      </c>
      <c r="D2" s="19">
        <v>114</v>
      </c>
      <c r="E2" s="19">
        <v>1632</v>
      </c>
    </row>
    <row r="3" spans="1:9" x14ac:dyDescent="0.45">
      <c r="A3" s="18" t="s">
        <v>17</v>
      </c>
      <c r="B3" s="18" t="s">
        <v>17</v>
      </c>
      <c r="C3" s="18" t="s">
        <v>346</v>
      </c>
      <c r="D3" s="19">
        <v>5</v>
      </c>
      <c r="E3" s="19">
        <v>221</v>
      </c>
    </row>
    <row r="4" spans="1:9" x14ac:dyDescent="0.45">
      <c r="A4" s="18" t="s">
        <v>17</v>
      </c>
      <c r="B4" s="18" t="s">
        <v>17</v>
      </c>
      <c r="C4" s="18" t="s">
        <v>347</v>
      </c>
      <c r="D4" s="19">
        <v>61</v>
      </c>
      <c r="E4" s="19">
        <v>1000</v>
      </c>
    </row>
    <row r="5" spans="1:9" x14ac:dyDescent="0.45">
      <c r="A5" s="18" t="s">
        <v>17</v>
      </c>
      <c r="B5" s="18" t="s">
        <v>17</v>
      </c>
      <c r="C5" s="18" t="s">
        <v>348</v>
      </c>
      <c r="D5" s="19">
        <v>29</v>
      </c>
      <c r="E5" s="19">
        <v>7169</v>
      </c>
    </row>
    <row r="6" spans="1:9" x14ac:dyDescent="0.45">
      <c r="A6" s="18" t="s">
        <v>17</v>
      </c>
      <c r="B6" s="18" t="s">
        <v>17</v>
      </c>
      <c r="C6" s="18" t="s">
        <v>349</v>
      </c>
      <c r="D6" s="19">
        <v>0</v>
      </c>
      <c r="E6" s="19">
        <v>36</v>
      </c>
    </row>
    <row r="7" spans="1:9" x14ac:dyDescent="0.45">
      <c r="A7" s="18" t="s">
        <v>17</v>
      </c>
      <c r="B7" s="18" t="s">
        <v>17</v>
      </c>
      <c r="C7" s="18" t="s">
        <v>350</v>
      </c>
      <c r="D7" s="19">
        <v>7</v>
      </c>
      <c r="E7" s="19">
        <v>46</v>
      </c>
    </row>
    <row r="8" spans="1:9" x14ac:dyDescent="0.45">
      <c r="A8" s="18" t="s">
        <v>17</v>
      </c>
      <c r="B8" s="18" t="s">
        <v>17</v>
      </c>
      <c r="C8" s="18" t="s">
        <v>351</v>
      </c>
      <c r="D8" s="19">
        <v>937</v>
      </c>
      <c r="E8" s="19">
        <v>6090</v>
      </c>
    </row>
    <row r="9" spans="1:9" x14ac:dyDescent="0.45">
      <c r="A9" s="18" t="s">
        <v>17</v>
      </c>
      <c r="B9" s="18" t="s">
        <v>17</v>
      </c>
      <c r="C9" s="18" t="s">
        <v>352</v>
      </c>
      <c r="D9" s="19">
        <v>690</v>
      </c>
      <c r="E9" s="19">
        <v>3961</v>
      </c>
    </row>
    <row r="10" spans="1:9" x14ac:dyDescent="0.45">
      <c r="A10" s="18" t="s">
        <v>17</v>
      </c>
      <c r="B10" s="18" t="s">
        <v>17</v>
      </c>
      <c r="C10" s="18" t="s">
        <v>353</v>
      </c>
      <c r="D10" s="19">
        <v>55</v>
      </c>
      <c r="E10" s="19">
        <v>5208</v>
      </c>
    </row>
    <row r="11" spans="1:9" x14ac:dyDescent="0.45">
      <c r="A11" s="18" t="s">
        <v>17</v>
      </c>
      <c r="B11" s="18" t="s">
        <v>17</v>
      </c>
      <c r="C11" s="18" t="s">
        <v>354</v>
      </c>
      <c r="D11" s="19">
        <v>1471</v>
      </c>
      <c r="E11" s="19">
        <v>1872</v>
      </c>
    </row>
    <row r="12" spans="1:9" x14ac:dyDescent="0.45">
      <c r="A12" s="18" t="s">
        <v>17</v>
      </c>
      <c r="B12" s="18" t="s">
        <v>17</v>
      </c>
      <c r="C12" s="18" t="s">
        <v>355</v>
      </c>
      <c r="D12" s="19">
        <v>20</v>
      </c>
      <c r="E12" s="19">
        <v>206</v>
      </c>
    </row>
    <row r="13" spans="1:9" ht="21.75" thickBot="1" x14ac:dyDescent="0.5">
      <c r="A13" s="90"/>
      <c r="B13" s="90"/>
      <c r="C13" s="90"/>
      <c r="D13" s="91">
        <f>SUM(D2:D12)</f>
        <v>3389</v>
      </c>
      <c r="E13" s="91">
        <f>SUM(E2:E12)</f>
        <v>27441</v>
      </c>
      <c r="G13" s="91">
        <f t="shared" ref="G13:I13" si="0">SUM(G2:G12)</f>
        <v>0</v>
      </c>
      <c r="H13" s="91">
        <f t="shared" si="0"/>
        <v>0</v>
      </c>
      <c r="I13" s="91">
        <f t="shared" si="0"/>
        <v>0</v>
      </c>
    </row>
    <row r="14" spans="1:9" ht="21.75" thickTop="1" x14ac:dyDescent="0.45"/>
    <row r="15" spans="1:9" x14ac:dyDescent="0.45">
      <c r="A15" s="18" t="s">
        <v>20</v>
      </c>
      <c r="B15" s="18" t="s">
        <v>356</v>
      </c>
      <c r="C15" s="18" t="s">
        <v>357</v>
      </c>
      <c r="D15" s="19">
        <v>177</v>
      </c>
      <c r="E15" s="19">
        <v>1968</v>
      </c>
    </row>
    <row r="16" spans="1:9" ht="21.75" thickBot="1" x14ac:dyDescent="0.5">
      <c r="A16" s="90"/>
      <c r="B16" s="90"/>
      <c r="C16" s="90"/>
      <c r="D16" s="91">
        <f>D15</f>
        <v>177</v>
      </c>
      <c r="E16" s="91">
        <f>E15</f>
        <v>1968</v>
      </c>
      <c r="G16" s="91">
        <f t="shared" ref="G16:I16" si="1">G15</f>
        <v>0</v>
      </c>
      <c r="H16" s="91">
        <f t="shared" si="1"/>
        <v>0</v>
      </c>
      <c r="I16" s="91">
        <f t="shared" si="1"/>
        <v>0</v>
      </c>
    </row>
    <row r="17" spans="1:9" ht="21.75" thickTop="1" x14ac:dyDescent="0.45"/>
    <row r="18" spans="1:9" x14ac:dyDescent="0.45">
      <c r="A18" s="18" t="s">
        <v>358</v>
      </c>
      <c r="B18" s="18" t="s">
        <v>358</v>
      </c>
      <c r="C18" s="18" t="s">
        <v>359</v>
      </c>
      <c r="D18" s="19">
        <v>76</v>
      </c>
      <c r="E18" s="19">
        <v>586</v>
      </c>
    </row>
    <row r="19" spans="1:9" x14ac:dyDescent="0.45">
      <c r="A19" s="18" t="s">
        <v>358</v>
      </c>
      <c r="B19" s="18" t="s">
        <v>358</v>
      </c>
      <c r="C19" s="18" t="s">
        <v>360</v>
      </c>
      <c r="D19" s="19">
        <v>559</v>
      </c>
      <c r="E19" s="19">
        <v>3516</v>
      </c>
    </row>
    <row r="20" spans="1:9" x14ac:dyDescent="0.45">
      <c r="A20" s="18" t="s">
        <v>358</v>
      </c>
      <c r="B20" s="18" t="s">
        <v>358</v>
      </c>
      <c r="C20" s="18" t="s">
        <v>361</v>
      </c>
      <c r="D20" s="19">
        <v>3835</v>
      </c>
      <c r="E20" s="19">
        <v>18729</v>
      </c>
      <c r="G20" s="19">
        <v>26607</v>
      </c>
      <c r="H20" s="19">
        <v>6105</v>
      </c>
      <c r="I20" s="19">
        <v>32712</v>
      </c>
    </row>
    <row r="21" spans="1:9" x14ac:dyDescent="0.45">
      <c r="A21" s="18" t="s">
        <v>358</v>
      </c>
      <c r="B21" s="18" t="s">
        <v>358</v>
      </c>
      <c r="C21" s="18" t="s">
        <v>362</v>
      </c>
      <c r="D21" s="19">
        <v>221</v>
      </c>
      <c r="E21" s="19">
        <v>1710</v>
      </c>
    </row>
    <row r="22" spans="1:9" x14ac:dyDescent="0.45">
      <c r="A22" s="18" t="s">
        <v>358</v>
      </c>
      <c r="B22" s="18" t="s">
        <v>358</v>
      </c>
      <c r="C22" s="18" t="s">
        <v>363</v>
      </c>
      <c r="D22" s="19">
        <v>1632</v>
      </c>
      <c r="E22" s="19">
        <v>7833</v>
      </c>
      <c r="G22" s="19">
        <v>1801</v>
      </c>
      <c r="H22" s="19">
        <v>1636</v>
      </c>
      <c r="I22" s="19">
        <v>3437</v>
      </c>
    </row>
    <row r="23" spans="1:9" x14ac:dyDescent="0.45">
      <c r="A23" s="18" t="s">
        <v>358</v>
      </c>
      <c r="B23" s="18" t="s">
        <v>358</v>
      </c>
      <c r="C23" s="18" t="s">
        <v>364</v>
      </c>
      <c r="D23" s="19">
        <v>334</v>
      </c>
      <c r="E23" s="19">
        <v>3659</v>
      </c>
      <c r="G23" s="19">
        <v>2935</v>
      </c>
      <c r="H23" s="19">
        <v>1100</v>
      </c>
      <c r="I23" s="19">
        <v>4035</v>
      </c>
    </row>
    <row r="24" spans="1:9" ht="21.75" thickBot="1" x14ac:dyDescent="0.5">
      <c r="A24" s="90"/>
      <c r="B24" s="90"/>
      <c r="C24" s="90"/>
      <c r="D24" s="91">
        <f>SUM(D18:D23)</f>
        <v>6657</v>
      </c>
      <c r="E24" s="91">
        <f>SUM(E18:E23)</f>
        <v>36033</v>
      </c>
      <c r="G24" s="91">
        <f t="shared" ref="G24:I24" si="2">SUM(G18:G23)</f>
        <v>31343</v>
      </c>
      <c r="H24" s="91">
        <f t="shared" si="2"/>
        <v>8841</v>
      </c>
      <c r="I24" s="91">
        <f t="shared" si="2"/>
        <v>40184</v>
      </c>
    </row>
    <row r="25" spans="1:9" ht="21.75" thickTop="1" x14ac:dyDescent="0.45">
      <c r="H25" s="37">
        <f>H24/I24</f>
        <v>0.22001294047382042</v>
      </c>
    </row>
    <row r="26" spans="1:9" x14ac:dyDescent="0.45">
      <c r="A26" s="18" t="s">
        <v>23</v>
      </c>
      <c r="B26" s="18" t="s">
        <v>365</v>
      </c>
      <c r="C26" s="18" t="s">
        <v>366</v>
      </c>
      <c r="D26" s="19">
        <v>9</v>
      </c>
      <c r="E26" s="19">
        <v>67</v>
      </c>
    </row>
    <row r="27" spans="1:9" x14ac:dyDescent="0.45">
      <c r="A27" s="18" t="s">
        <v>23</v>
      </c>
      <c r="B27" s="18" t="s">
        <v>367</v>
      </c>
      <c r="C27" s="18" t="s">
        <v>368</v>
      </c>
      <c r="D27" s="19">
        <v>1846</v>
      </c>
      <c r="E27" s="19">
        <v>21804</v>
      </c>
      <c r="G27" s="19">
        <v>27639</v>
      </c>
      <c r="H27" s="19">
        <v>2168</v>
      </c>
      <c r="I27" s="19">
        <v>29807</v>
      </c>
    </row>
    <row r="28" spans="1:9" x14ac:dyDescent="0.45">
      <c r="A28" s="18" t="s">
        <v>23</v>
      </c>
      <c r="B28" s="18" t="s">
        <v>367</v>
      </c>
      <c r="C28" s="18" t="s">
        <v>369</v>
      </c>
      <c r="D28" s="19">
        <v>197</v>
      </c>
      <c r="E28" s="19">
        <v>4206</v>
      </c>
    </row>
    <row r="29" spans="1:9" ht="21.75" thickBot="1" x14ac:dyDescent="0.5">
      <c r="A29" s="90"/>
      <c r="B29" s="90"/>
      <c r="C29" s="90"/>
      <c r="D29" s="91">
        <f>SUM(D26:D28)</f>
        <v>2052</v>
      </c>
      <c r="E29" s="91">
        <f>SUM(E26:E28)</f>
        <v>26077</v>
      </c>
      <c r="G29" s="91">
        <f t="shared" ref="G29:I29" si="3">SUM(G26:G28)</f>
        <v>27639</v>
      </c>
      <c r="H29" s="91">
        <f t="shared" si="3"/>
        <v>2168</v>
      </c>
      <c r="I29" s="91">
        <f t="shared" si="3"/>
        <v>29807</v>
      </c>
    </row>
    <row r="30" spans="1:9" ht="21.75" thickTop="1" x14ac:dyDescent="0.45">
      <c r="H30" s="37">
        <f>H29/I29</f>
        <v>7.2734592545375246E-2</v>
      </c>
    </row>
    <row r="32" spans="1:9" x14ac:dyDescent="0.45">
      <c r="A32" s="18" t="s">
        <v>24</v>
      </c>
      <c r="B32" s="18" t="s">
        <v>24</v>
      </c>
      <c r="C32" s="18" t="s">
        <v>370</v>
      </c>
      <c r="D32" s="19">
        <v>922</v>
      </c>
      <c r="E32" s="19">
        <v>10194</v>
      </c>
    </row>
    <row r="33" spans="1:9" x14ac:dyDescent="0.45">
      <c r="A33" s="18" t="s">
        <v>24</v>
      </c>
      <c r="B33" s="18" t="s">
        <v>24</v>
      </c>
      <c r="C33" s="18" t="s">
        <v>371</v>
      </c>
      <c r="D33" s="19">
        <v>234</v>
      </c>
      <c r="E33" s="19">
        <v>3100</v>
      </c>
    </row>
    <row r="34" spans="1:9" x14ac:dyDescent="0.45">
      <c r="A34" s="18" t="s">
        <v>24</v>
      </c>
      <c r="B34" s="18" t="s">
        <v>24</v>
      </c>
      <c r="C34" s="18" t="s">
        <v>372</v>
      </c>
      <c r="D34" s="19">
        <v>132</v>
      </c>
      <c r="E34" s="19">
        <v>4207</v>
      </c>
      <c r="G34" s="19">
        <v>6544</v>
      </c>
      <c r="H34" s="19">
        <v>1</v>
      </c>
      <c r="I34" s="19">
        <v>6545</v>
      </c>
    </row>
    <row r="35" spans="1:9" x14ac:dyDescent="0.45">
      <c r="A35" s="18" t="s">
        <v>24</v>
      </c>
      <c r="B35" s="18" t="s">
        <v>24</v>
      </c>
      <c r="C35" s="18" t="s">
        <v>373</v>
      </c>
      <c r="D35" s="19">
        <v>59</v>
      </c>
      <c r="E35" s="19">
        <v>270</v>
      </c>
    </row>
    <row r="36" spans="1:9" x14ac:dyDescent="0.45">
      <c r="A36" s="18" t="s">
        <v>374</v>
      </c>
      <c r="B36" s="18" t="s">
        <v>375</v>
      </c>
      <c r="C36" s="18" t="s">
        <v>376</v>
      </c>
      <c r="D36" s="19">
        <v>453</v>
      </c>
      <c r="E36" s="19">
        <v>2340</v>
      </c>
    </row>
    <row r="37" spans="1:9" x14ac:dyDescent="0.45">
      <c r="A37" s="18" t="s">
        <v>374</v>
      </c>
      <c r="B37" s="18" t="s">
        <v>377</v>
      </c>
      <c r="C37" s="18" t="s">
        <v>378</v>
      </c>
      <c r="D37" s="19">
        <v>165</v>
      </c>
      <c r="E37" s="19">
        <v>358</v>
      </c>
    </row>
    <row r="38" spans="1:9" x14ac:dyDescent="0.45">
      <c r="A38" s="18" t="s">
        <v>374</v>
      </c>
      <c r="B38" s="18" t="s">
        <v>379</v>
      </c>
      <c r="C38" s="18" t="s">
        <v>380</v>
      </c>
      <c r="D38" s="19">
        <v>33</v>
      </c>
      <c r="E38" s="19">
        <v>1357</v>
      </c>
    </row>
    <row r="39" spans="1:9" x14ac:dyDescent="0.45">
      <c r="A39" s="18" t="s">
        <v>374</v>
      </c>
      <c r="B39" s="18" t="s">
        <v>379</v>
      </c>
      <c r="C39" s="18" t="s">
        <v>381</v>
      </c>
      <c r="D39" s="19">
        <v>604</v>
      </c>
      <c r="E39" s="19">
        <v>4078</v>
      </c>
    </row>
    <row r="40" spans="1:9" x14ac:dyDescent="0.45">
      <c r="A40" s="18" t="s">
        <v>374</v>
      </c>
      <c r="B40" s="18" t="s">
        <v>379</v>
      </c>
      <c r="C40" s="18" t="s">
        <v>382</v>
      </c>
      <c r="D40" s="19">
        <v>34</v>
      </c>
      <c r="E40" s="19">
        <v>631</v>
      </c>
    </row>
    <row r="41" spans="1:9" x14ac:dyDescent="0.45">
      <c r="A41" s="18" t="s">
        <v>374</v>
      </c>
      <c r="B41" s="18" t="s">
        <v>383</v>
      </c>
      <c r="C41" s="18" t="s">
        <v>384</v>
      </c>
      <c r="D41" s="19">
        <v>124</v>
      </c>
      <c r="E41" s="19">
        <v>609</v>
      </c>
    </row>
    <row r="42" spans="1:9" x14ac:dyDescent="0.45">
      <c r="A42" s="18" t="s">
        <v>374</v>
      </c>
      <c r="B42" s="18" t="s">
        <v>385</v>
      </c>
      <c r="C42" s="18" t="s">
        <v>386</v>
      </c>
      <c r="D42" s="19">
        <v>1083</v>
      </c>
      <c r="E42" s="19">
        <v>2885</v>
      </c>
    </row>
    <row r="43" spans="1:9" x14ac:dyDescent="0.45">
      <c r="A43" s="18" t="s">
        <v>374</v>
      </c>
      <c r="B43" s="18" t="s">
        <v>387</v>
      </c>
      <c r="C43" s="18" t="s">
        <v>388</v>
      </c>
      <c r="D43" s="19">
        <v>342</v>
      </c>
      <c r="E43" s="19">
        <v>2181</v>
      </c>
    </row>
    <row r="44" spans="1:9" ht="21.75" thickBot="1" x14ac:dyDescent="0.5">
      <c r="A44" s="90"/>
      <c r="B44" s="90"/>
      <c r="C44" s="90"/>
      <c r="D44" s="91">
        <f>SUM(D32:D43)</f>
        <v>4185</v>
      </c>
      <c r="E44" s="91">
        <f>SUM(E32:E43)</f>
        <v>32210</v>
      </c>
      <c r="G44" s="91">
        <f t="shared" ref="G44:I44" si="4">SUM(G32:G43)</f>
        <v>6544</v>
      </c>
      <c r="H44" s="91">
        <f t="shared" si="4"/>
        <v>1</v>
      </c>
      <c r="I44" s="91">
        <f t="shared" si="4"/>
        <v>6545</v>
      </c>
    </row>
    <row r="45" spans="1:9" ht="21.75" thickTop="1" x14ac:dyDescent="0.45">
      <c r="H45" s="37">
        <f>H44/I44</f>
        <v>1.5278838808250572E-4</v>
      </c>
    </row>
    <row r="46" spans="1:9" x14ac:dyDescent="0.45">
      <c r="A46" s="18" t="s">
        <v>389</v>
      </c>
      <c r="B46" s="18" t="s">
        <v>389</v>
      </c>
      <c r="C46" s="18" t="s">
        <v>390</v>
      </c>
      <c r="D46" s="19">
        <v>155</v>
      </c>
      <c r="E46" s="19">
        <v>422</v>
      </c>
    </row>
    <row r="47" spans="1:9" x14ac:dyDescent="0.45">
      <c r="A47" s="18" t="s">
        <v>389</v>
      </c>
      <c r="B47" s="18" t="s">
        <v>389</v>
      </c>
      <c r="C47" s="18" t="s">
        <v>391</v>
      </c>
      <c r="D47" s="19">
        <v>179</v>
      </c>
      <c r="E47" s="19">
        <v>902</v>
      </c>
    </row>
    <row r="48" spans="1:9" ht="21.75" thickBot="1" x14ac:dyDescent="0.5">
      <c r="A48" s="90"/>
      <c r="B48" s="90"/>
      <c r="C48" s="90"/>
      <c r="D48" s="91">
        <f>SUM(D46:D47)</f>
        <v>334</v>
      </c>
      <c r="E48" s="91">
        <f>SUM(E46:E47)</f>
        <v>1324</v>
      </c>
      <c r="G48" s="91">
        <f t="shared" ref="G48:I48" si="5">SUM(G46:G47)</f>
        <v>0</v>
      </c>
      <c r="H48" s="91">
        <f t="shared" si="5"/>
        <v>0</v>
      </c>
      <c r="I48" s="91">
        <f t="shared" si="5"/>
        <v>0</v>
      </c>
    </row>
    <row r="49" spans="1:9" ht="21.75" thickTop="1" x14ac:dyDescent="0.45">
      <c r="H49" s="37" t="e">
        <f>H48/I48</f>
        <v>#DIV/0!</v>
      </c>
    </row>
    <row r="50" spans="1:9" x14ac:dyDescent="0.45">
      <c r="A50" s="18" t="s">
        <v>392</v>
      </c>
      <c r="B50" s="18" t="s">
        <v>393</v>
      </c>
      <c r="C50" s="18" t="s">
        <v>394</v>
      </c>
      <c r="D50" s="19">
        <v>125</v>
      </c>
      <c r="E50" s="19">
        <v>686</v>
      </c>
      <c r="G50" s="19">
        <v>22568</v>
      </c>
      <c r="H50" s="19">
        <v>137</v>
      </c>
      <c r="I50" s="19">
        <v>22705</v>
      </c>
    </row>
    <row r="51" spans="1:9" x14ac:dyDescent="0.45">
      <c r="A51" s="18" t="s">
        <v>392</v>
      </c>
      <c r="B51" s="18" t="s">
        <v>393</v>
      </c>
      <c r="C51" s="18" t="s">
        <v>395</v>
      </c>
      <c r="D51" s="19">
        <v>802</v>
      </c>
      <c r="E51" s="19">
        <v>2841</v>
      </c>
    </row>
    <row r="52" spans="1:9" x14ac:dyDescent="0.45">
      <c r="A52" s="18" t="s">
        <v>392</v>
      </c>
      <c r="B52" s="18" t="s">
        <v>393</v>
      </c>
      <c r="C52" s="18" t="s">
        <v>396</v>
      </c>
      <c r="D52" s="19">
        <v>776</v>
      </c>
      <c r="E52" s="19">
        <v>2010</v>
      </c>
    </row>
    <row r="53" spans="1:9" x14ac:dyDescent="0.45">
      <c r="A53" s="18" t="s">
        <v>392</v>
      </c>
      <c r="B53" s="18" t="s">
        <v>397</v>
      </c>
      <c r="C53" s="18" t="s">
        <v>398</v>
      </c>
      <c r="D53" s="19">
        <v>640</v>
      </c>
      <c r="E53" s="19">
        <v>2681</v>
      </c>
    </row>
    <row r="54" spans="1:9" x14ac:dyDescent="0.45">
      <c r="A54" s="18" t="s">
        <v>392</v>
      </c>
      <c r="B54" s="18" t="s">
        <v>393</v>
      </c>
      <c r="C54" s="18" t="s">
        <v>399</v>
      </c>
      <c r="D54" s="19">
        <v>1357</v>
      </c>
      <c r="E54" s="19">
        <v>7057</v>
      </c>
      <c r="G54" s="19">
        <v>11972</v>
      </c>
      <c r="H54" s="19">
        <v>71</v>
      </c>
      <c r="I54" s="19">
        <v>12043</v>
      </c>
    </row>
    <row r="55" spans="1:9" x14ac:dyDescent="0.45">
      <c r="A55" s="18" t="s">
        <v>392</v>
      </c>
      <c r="B55" s="18" t="s">
        <v>400</v>
      </c>
      <c r="C55" s="18" t="s">
        <v>401</v>
      </c>
      <c r="D55" s="19">
        <v>623</v>
      </c>
      <c r="E55" s="19">
        <v>3782</v>
      </c>
    </row>
    <row r="56" spans="1:9" x14ac:dyDescent="0.45">
      <c r="A56" s="18" t="s">
        <v>392</v>
      </c>
      <c r="B56" s="18" t="s">
        <v>400</v>
      </c>
      <c r="C56" s="18" t="s">
        <v>402</v>
      </c>
      <c r="D56" s="19">
        <v>565</v>
      </c>
      <c r="E56" s="19">
        <v>733</v>
      </c>
    </row>
    <row r="57" spans="1:9" ht="21.75" thickBot="1" x14ac:dyDescent="0.5">
      <c r="A57" s="90"/>
      <c r="B57" s="90"/>
      <c r="C57" s="90"/>
      <c r="D57" s="91">
        <f>SUM(D50:D56)</f>
        <v>4888</v>
      </c>
      <c r="E57" s="91">
        <f>SUM(E50:E56)</f>
        <v>19790</v>
      </c>
      <c r="G57" s="91">
        <f t="shared" ref="G57:I57" si="6">SUM(G50:G56)</f>
        <v>34540</v>
      </c>
      <c r="H57" s="91">
        <f t="shared" si="6"/>
        <v>208</v>
      </c>
      <c r="I57" s="91">
        <f t="shared" si="6"/>
        <v>34748</v>
      </c>
    </row>
    <row r="58" spans="1:9" ht="21.75" thickTop="1" x14ac:dyDescent="0.45">
      <c r="H58" s="37">
        <f>H57/I57</f>
        <v>5.9859560262461153E-3</v>
      </c>
    </row>
    <row r="59" spans="1:9" x14ac:dyDescent="0.45">
      <c r="A59" s="18" t="s">
        <v>403</v>
      </c>
      <c r="B59" s="18" t="s">
        <v>403</v>
      </c>
      <c r="C59" s="18" t="s">
        <v>404</v>
      </c>
      <c r="D59" s="19">
        <v>3927</v>
      </c>
      <c r="E59" s="19">
        <v>32101</v>
      </c>
    </row>
    <row r="60" spans="1:9" x14ac:dyDescent="0.45">
      <c r="A60" s="18" t="s">
        <v>403</v>
      </c>
      <c r="B60" s="18" t="s">
        <v>403</v>
      </c>
      <c r="C60" s="18" t="s">
        <v>405</v>
      </c>
      <c r="D60" s="19">
        <v>1204</v>
      </c>
      <c r="E60" s="19">
        <v>4091</v>
      </c>
    </row>
    <row r="61" spans="1:9" ht="21.75" thickBot="1" x14ac:dyDescent="0.5">
      <c r="A61" s="90"/>
      <c r="B61" s="90"/>
      <c r="C61" s="90"/>
      <c r="D61" s="91">
        <f>SUM(D59:D60)</f>
        <v>5131</v>
      </c>
      <c r="E61" s="91">
        <f>SUM(E59:E60)</f>
        <v>36192</v>
      </c>
      <c r="G61" s="91">
        <f t="shared" ref="G61:I61" si="7">SUM(G59:G60)</f>
        <v>0</v>
      </c>
      <c r="H61" s="91">
        <f t="shared" si="7"/>
        <v>0</v>
      </c>
      <c r="I61" s="91">
        <f t="shared" si="7"/>
        <v>0</v>
      </c>
    </row>
    <row r="62" spans="1:9" ht="21.75" thickTop="1" x14ac:dyDescent="0.45">
      <c r="H62" s="37" t="e">
        <f>H61/I61</f>
        <v>#DIV/0!</v>
      </c>
    </row>
    <row r="63" spans="1:9" x14ac:dyDescent="0.45">
      <c r="A63" s="18" t="s">
        <v>74</v>
      </c>
      <c r="B63" s="18" t="s">
        <v>406</v>
      </c>
      <c r="C63" s="18" t="s">
        <v>407</v>
      </c>
      <c r="D63" s="19">
        <v>5437</v>
      </c>
      <c r="E63" s="19">
        <v>23051</v>
      </c>
      <c r="G63" s="19">
        <v>37000</v>
      </c>
      <c r="H63" s="19">
        <v>7345</v>
      </c>
      <c r="I63" s="19">
        <v>44345</v>
      </c>
    </row>
    <row r="64" spans="1:9" ht="21.75" thickBot="1" x14ac:dyDescent="0.5">
      <c r="A64" s="90"/>
      <c r="B64" s="90"/>
      <c r="C64" s="90"/>
      <c r="D64" s="91">
        <f>D63</f>
        <v>5437</v>
      </c>
      <c r="E64" s="91">
        <f>E63</f>
        <v>23051</v>
      </c>
      <c r="G64" s="91">
        <f t="shared" ref="G64:I64" si="8">G63</f>
        <v>37000</v>
      </c>
      <c r="H64" s="91">
        <f t="shared" si="8"/>
        <v>7345</v>
      </c>
      <c r="I64" s="91">
        <f t="shared" si="8"/>
        <v>44345</v>
      </c>
    </row>
    <row r="65" spans="1:9" ht="21.75" thickTop="1" x14ac:dyDescent="0.45">
      <c r="H65" s="37">
        <f>H64/I64</f>
        <v>0.16563310407035742</v>
      </c>
    </row>
    <row r="66" spans="1:9" x14ac:dyDescent="0.45">
      <c r="A66" s="18" t="s">
        <v>338</v>
      </c>
      <c r="B66" s="18" t="s">
        <v>408</v>
      </c>
      <c r="C66" s="18" t="s">
        <v>409</v>
      </c>
      <c r="D66" s="19">
        <v>1480</v>
      </c>
      <c r="E66" s="19">
        <v>8244</v>
      </c>
      <c r="G66" s="19">
        <v>13814</v>
      </c>
      <c r="H66" s="19">
        <v>14</v>
      </c>
      <c r="I66" s="19">
        <v>13828</v>
      </c>
    </row>
    <row r="67" spans="1:9" ht="21.75" thickBot="1" x14ac:dyDescent="0.5">
      <c r="A67" s="90"/>
      <c r="B67" s="90"/>
      <c r="C67" s="90"/>
      <c r="D67" s="91">
        <f>D66</f>
        <v>1480</v>
      </c>
      <c r="E67" s="91">
        <f>E66</f>
        <v>8244</v>
      </c>
      <c r="G67" s="91">
        <f t="shared" ref="G67:I67" si="9">G66</f>
        <v>13814</v>
      </c>
      <c r="H67" s="91">
        <f t="shared" si="9"/>
        <v>14</v>
      </c>
      <c r="I67" s="91">
        <f t="shared" si="9"/>
        <v>13828</v>
      </c>
    </row>
    <row r="68" spans="1:9" ht="21.75" thickTop="1" x14ac:dyDescent="0.45">
      <c r="H68" s="162">
        <f>H67/I67</f>
        <v>1.0124385305177899E-3</v>
      </c>
    </row>
    <row r="69" spans="1:9" x14ac:dyDescent="0.45">
      <c r="A69" s="18" t="s">
        <v>321</v>
      </c>
      <c r="B69" s="18" t="s">
        <v>379</v>
      </c>
      <c r="C69" s="18" t="s">
        <v>410</v>
      </c>
      <c r="D69" s="19">
        <v>549</v>
      </c>
      <c r="E69" s="19">
        <v>3442</v>
      </c>
      <c r="G69" s="19">
        <v>397</v>
      </c>
      <c r="H69" s="19">
        <v>3646</v>
      </c>
      <c r="I69" s="19">
        <v>4043</v>
      </c>
    </row>
    <row r="70" spans="1:9" x14ac:dyDescent="0.45">
      <c r="A70" s="18" t="s">
        <v>321</v>
      </c>
      <c r="B70" s="18" t="s">
        <v>411</v>
      </c>
      <c r="C70" s="18" t="s">
        <v>412</v>
      </c>
      <c r="D70" s="19">
        <v>223</v>
      </c>
      <c r="E70" s="19">
        <v>785</v>
      </c>
      <c r="G70" s="19">
        <v>95</v>
      </c>
      <c r="H70" s="19">
        <v>782</v>
      </c>
      <c r="I70" s="19">
        <v>877</v>
      </c>
    </row>
    <row r="71" spans="1:9" x14ac:dyDescent="0.45">
      <c r="A71" s="18" t="s">
        <v>321</v>
      </c>
      <c r="B71" s="18" t="s">
        <v>413</v>
      </c>
      <c r="C71" s="18" t="s">
        <v>414</v>
      </c>
      <c r="D71" s="19">
        <v>14</v>
      </c>
      <c r="E71" s="19">
        <v>115</v>
      </c>
    </row>
    <row r="72" spans="1:9" x14ac:dyDescent="0.45">
      <c r="A72" s="18" t="s">
        <v>321</v>
      </c>
      <c r="B72" s="18" t="s">
        <v>413</v>
      </c>
      <c r="C72" s="18" t="s">
        <v>415</v>
      </c>
      <c r="D72" s="19">
        <v>1068</v>
      </c>
      <c r="E72" s="19">
        <v>3260</v>
      </c>
      <c r="G72" s="19">
        <v>1593</v>
      </c>
      <c r="H72" s="19">
        <v>10736</v>
      </c>
      <c r="I72" s="19">
        <v>12329</v>
      </c>
    </row>
    <row r="73" spans="1:9" x14ac:dyDescent="0.45">
      <c r="A73" s="18" t="s">
        <v>321</v>
      </c>
      <c r="B73" s="18" t="s">
        <v>416</v>
      </c>
      <c r="C73" s="18" t="s">
        <v>417</v>
      </c>
      <c r="D73" s="19">
        <v>917</v>
      </c>
      <c r="E73" s="19">
        <v>3358</v>
      </c>
      <c r="G73" s="19">
        <v>287</v>
      </c>
      <c r="H73" s="19">
        <v>3909</v>
      </c>
      <c r="I73" s="19">
        <v>4196</v>
      </c>
    </row>
    <row r="74" spans="1:9" x14ac:dyDescent="0.45">
      <c r="A74" s="18" t="s">
        <v>321</v>
      </c>
      <c r="B74" s="18" t="s">
        <v>418</v>
      </c>
      <c r="C74" s="18" t="s">
        <v>419</v>
      </c>
      <c r="D74" s="19">
        <v>164</v>
      </c>
      <c r="E74" s="19">
        <v>481</v>
      </c>
      <c r="G74" s="19">
        <v>23</v>
      </c>
      <c r="H74" s="19">
        <v>755</v>
      </c>
      <c r="I74" s="19">
        <v>778</v>
      </c>
    </row>
    <row r="75" spans="1:9" x14ac:dyDescent="0.45">
      <c r="A75" s="18" t="s">
        <v>321</v>
      </c>
      <c r="B75" s="18" t="s">
        <v>420</v>
      </c>
      <c r="C75" s="18" t="s">
        <v>421</v>
      </c>
      <c r="D75" s="19">
        <v>323</v>
      </c>
      <c r="E75" s="19">
        <v>2833</v>
      </c>
      <c r="G75" s="19">
        <v>820</v>
      </c>
      <c r="H75" s="19">
        <v>2793</v>
      </c>
      <c r="I75" s="19">
        <v>3613</v>
      </c>
    </row>
    <row r="76" spans="1:9" x14ac:dyDescent="0.45">
      <c r="A76" s="18" t="s">
        <v>321</v>
      </c>
      <c r="B76" s="18" t="s">
        <v>422</v>
      </c>
      <c r="C76" s="18" t="s">
        <v>423</v>
      </c>
      <c r="D76" s="19">
        <v>465</v>
      </c>
      <c r="E76" s="19">
        <v>1856</v>
      </c>
      <c r="G76" s="19">
        <v>124</v>
      </c>
      <c r="H76" s="19">
        <v>2695</v>
      </c>
      <c r="I76" s="19">
        <v>2819</v>
      </c>
    </row>
    <row r="77" spans="1:9" x14ac:dyDescent="0.45">
      <c r="A77" s="18" t="s">
        <v>321</v>
      </c>
      <c r="B77" s="18" t="s">
        <v>424</v>
      </c>
      <c r="C77" s="18" t="s">
        <v>425</v>
      </c>
      <c r="D77" s="19">
        <v>199</v>
      </c>
      <c r="E77" s="19">
        <v>507</v>
      </c>
      <c r="G77" s="19">
        <v>150</v>
      </c>
      <c r="H77" s="19">
        <v>699</v>
      </c>
      <c r="I77" s="19">
        <v>849</v>
      </c>
    </row>
    <row r="78" spans="1:9" x14ac:dyDescent="0.45">
      <c r="A78" s="18" t="s">
        <v>321</v>
      </c>
      <c r="B78" s="18" t="s">
        <v>321</v>
      </c>
      <c r="C78" s="18" t="s">
        <v>426</v>
      </c>
      <c r="D78" s="19">
        <v>174</v>
      </c>
      <c r="E78" s="19">
        <v>2289</v>
      </c>
    </row>
    <row r="79" spans="1:9" x14ac:dyDescent="0.45">
      <c r="A79" s="18" t="s">
        <v>321</v>
      </c>
      <c r="B79" s="18" t="s">
        <v>321</v>
      </c>
      <c r="C79" s="18" t="s">
        <v>427</v>
      </c>
      <c r="D79" s="19">
        <v>595</v>
      </c>
      <c r="E79" s="19">
        <v>3955</v>
      </c>
    </row>
    <row r="80" spans="1:9" x14ac:dyDescent="0.45">
      <c r="A80" s="18" t="s">
        <v>321</v>
      </c>
      <c r="B80" s="18" t="s">
        <v>321</v>
      </c>
      <c r="C80" s="18" t="s">
        <v>428</v>
      </c>
      <c r="D80" s="19">
        <v>109</v>
      </c>
      <c r="E80" s="19">
        <v>1149</v>
      </c>
      <c r="G80" s="19">
        <v>21</v>
      </c>
      <c r="H80" s="19">
        <v>1220</v>
      </c>
      <c r="I80" s="19">
        <v>1241</v>
      </c>
    </row>
    <row r="81" spans="1:9" x14ac:dyDescent="0.45">
      <c r="A81" s="18" t="s">
        <v>321</v>
      </c>
      <c r="B81" s="18" t="s">
        <v>429</v>
      </c>
      <c r="C81" s="18" t="s">
        <v>430</v>
      </c>
      <c r="D81" s="19">
        <v>340</v>
      </c>
      <c r="E81" s="19">
        <v>592</v>
      </c>
      <c r="G81" s="19">
        <v>20</v>
      </c>
      <c r="H81" s="19">
        <v>1792</v>
      </c>
      <c r="I81" s="19">
        <v>1812</v>
      </c>
    </row>
    <row r="82" spans="1:9" ht="21.75" thickBot="1" x14ac:dyDescent="0.5">
      <c r="A82" s="90"/>
      <c r="B82" s="90"/>
      <c r="C82" s="90"/>
      <c r="D82" s="91">
        <f>SUM(D69:D81)</f>
        <v>5140</v>
      </c>
      <c r="E82" s="91">
        <f>SUM(E69:E81)</f>
        <v>24622</v>
      </c>
      <c r="G82" s="91">
        <f t="shared" ref="G82:I82" si="10">SUM(G69:G81)</f>
        <v>3530</v>
      </c>
      <c r="H82" s="91">
        <f t="shared" si="10"/>
        <v>29027</v>
      </c>
      <c r="I82" s="91">
        <f t="shared" si="10"/>
        <v>32557</v>
      </c>
    </row>
    <row r="83" spans="1:9" ht="21.75" thickTop="1" x14ac:dyDescent="0.45">
      <c r="H83" s="37">
        <f>H82/I82</f>
        <v>0.89157477654575057</v>
      </c>
    </row>
    <row r="84" spans="1:9" x14ac:dyDescent="0.45">
      <c r="A84" s="18" t="s">
        <v>431</v>
      </c>
      <c r="B84" s="18" t="s">
        <v>432</v>
      </c>
      <c r="C84" s="18" t="s">
        <v>433</v>
      </c>
      <c r="D84" s="19">
        <v>30</v>
      </c>
      <c r="E84" s="19">
        <v>52</v>
      </c>
    </row>
    <row r="85" spans="1:9" x14ac:dyDescent="0.45">
      <c r="A85" s="18" t="s">
        <v>431</v>
      </c>
      <c r="B85" s="18" t="s">
        <v>434</v>
      </c>
      <c r="C85" s="18" t="s">
        <v>435</v>
      </c>
      <c r="D85" s="19">
        <v>129</v>
      </c>
      <c r="E85" s="19">
        <v>1003</v>
      </c>
    </row>
    <row r="86" spans="1:9" x14ac:dyDescent="0.45">
      <c r="A86" s="18" t="s">
        <v>431</v>
      </c>
      <c r="B86" s="18" t="s">
        <v>434</v>
      </c>
      <c r="C86" s="18" t="s">
        <v>436</v>
      </c>
      <c r="D86" s="19">
        <v>41</v>
      </c>
      <c r="E86" s="19">
        <v>306</v>
      </c>
    </row>
    <row r="87" spans="1:9" x14ac:dyDescent="0.45">
      <c r="A87" s="18" t="s">
        <v>431</v>
      </c>
      <c r="B87" s="18" t="s">
        <v>434</v>
      </c>
      <c r="C87" s="18" t="s">
        <v>437</v>
      </c>
      <c r="D87" s="19">
        <v>1040</v>
      </c>
      <c r="E87" s="19">
        <v>3984</v>
      </c>
      <c r="G87" s="19">
        <v>6839</v>
      </c>
      <c r="H87" s="19">
        <v>1571</v>
      </c>
      <c r="I87" s="19">
        <v>8410</v>
      </c>
    </row>
    <row r="88" spans="1:9" ht="21.75" thickBot="1" x14ac:dyDescent="0.5">
      <c r="A88" s="90"/>
      <c r="B88" s="90"/>
      <c r="C88" s="90"/>
      <c r="D88" s="91">
        <f>SUM(D84:D87)</f>
        <v>1240</v>
      </c>
      <c r="E88" s="91">
        <f>SUM(E84:E87)</f>
        <v>5345</v>
      </c>
      <c r="G88" s="91">
        <f t="shared" ref="G88:I88" si="11">SUM(G84:G87)</f>
        <v>6839</v>
      </c>
      <c r="H88" s="91">
        <f t="shared" si="11"/>
        <v>1571</v>
      </c>
      <c r="I88" s="91">
        <f t="shared" si="11"/>
        <v>8410</v>
      </c>
    </row>
    <row r="89" spans="1:9" ht="21.75" thickTop="1" x14ac:dyDescent="0.45">
      <c r="H89" s="37">
        <f>H88/I88</f>
        <v>0.18680142687277052</v>
      </c>
    </row>
    <row r="90" spans="1:9" x14ac:dyDescent="0.45">
      <c r="A90" s="18" t="s">
        <v>30</v>
      </c>
      <c r="B90" s="18" t="s">
        <v>438</v>
      </c>
      <c r="C90" s="18" t="s">
        <v>439</v>
      </c>
      <c r="D90" s="19">
        <v>1183</v>
      </c>
      <c r="E90" s="19">
        <v>2506</v>
      </c>
    </row>
    <row r="91" spans="1:9" x14ac:dyDescent="0.45">
      <c r="A91" s="18" t="s">
        <v>30</v>
      </c>
      <c r="B91" s="18" t="s">
        <v>440</v>
      </c>
      <c r="C91" s="18" t="s">
        <v>441</v>
      </c>
      <c r="D91" s="19">
        <v>657</v>
      </c>
      <c r="E91" s="19">
        <v>3764</v>
      </c>
      <c r="G91" s="19">
        <v>3372</v>
      </c>
      <c r="H91" s="19">
        <v>1</v>
      </c>
      <c r="I91" s="19">
        <v>3373</v>
      </c>
    </row>
    <row r="92" spans="1:9" x14ac:dyDescent="0.45">
      <c r="A92" s="18" t="s">
        <v>30</v>
      </c>
      <c r="B92" s="18" t="s">
        <v>442</v>
      </c>
      <c r="C92" s="18" t="s">
        <v>443</v>
      </c>
      <c r="D92" s="19">
        <v>641</v>
      </c>
      <c r="E92" s="19">
        <v>1940</v>
      </c>
      <c r="G92" s="19">
        <v>3085</v>
      </c>
      <c r="H92" s="19">
        <v>2</v>
      </c>
      <c r="I92" s="19">
        <v>3087</v>
      </c>
    </row>
    <row r="93" spans="1:9" x14ac:dyDescent="0.45">
      <c r="A93" s="18" t="s">
        <v>30</v>
      </c>
      <c r="B93" s="18" t="s">
        <v>438</v>
      </c>
      <c r="C93" s="18" t="s">
        <v>444</v>
      </c>
      <c r="D93" s="19">
        <v>484</v>
      </c>
      <c r="E93" s="19">
        <v>1079</v>
      </c>
      <c r="G93" s="19">
        <v>1005</v>
      </c>
      <c r="H93" s="19">
        <v>2</v>
      </c>
      <c r="I93" s="19">
        <v>1007</v>
      </c>
    </row>
    <row r="94" spans="1:9" x14ac:dyDescent="0.45">
      <c r="A94" s="18" t="s">
        <v>30</v>
      </c>
      <c r="B94" s="18" t="s">
        <v>445</v>
      </c>
      <c r="C94" s="18" t="s">
        <v>446</v>
      </c>
      <c r="D94" s="19">
        <v>883</v>
      </c>
      <c r="E94" s="19">
        <v>2238</v>
      </c>
      <c r="G94" s="19">
        <v>3826</v>
      </c>
      <c r="H94" s="19">
        <v>79</v>
      </c>
      <c r="I94" s="19">
        <v>3905</v>
      </c>
    </row>
    <row r="95" spans="1:9" x14ac:dyDescent="0.45">
      <c r="A95" s="18" t="s">
        <v>30</v>
      </c>
      <c r="B95" s="18" t="s">
        <v>30</v>
      </c>
      <c r="C95" s="18" t="s">
        <v>447</v>
      </c>
      <c r="D95" s="19">
        <v>22</v>
      </c>
      <c r="E95" s="19">
        <v>36</v>
      </c>
      <c r="G95" s="19">
        <v>33</v>
      </c>
      <c r="H95" s="19">
        <v>0</v>
      </c>
      <c r="I95" s="19">
        <v>33</v>
      </c>
    </row>
    <row r="96" spans="1:9" x14ac:dyDescent="0.45">
      <c r="A96" s="18" t="s">
        <v>30</v>
      </c>
      <c r="B96" s="18" t="s">
        <v>30</v>
      </c>
      <c r="C96" s="18" t="s">
        <v>448</v>
      </c>
      <c r="D96" s="19">
        <v>789</v>
      </c>
      <c r="E96" s="19">
        <v>2111</v>
      </c>
      <c r="G96" s="19">
        <v>2390</v>
      </c>
      <c r="H96" s="19">
        <v>151</v>
      </c>
      <c r="I96" s="19">
        <v>2541</v>
      </c>
    </row>
    <row r="97" spans="1:9" x14ac:dyDescent="0.45">
      <c r="A97" s="18" t="s">
        <v>30</v>
      </c>
      <c r="B97" s="18" t="s">
        <v>449</v>
      </c>
      <c r="C97" s="18" t="s">
        <v>450</v>
      </c>
      <c r="D97" s="19">
        <v>307</v>
      </c>
      <c r="E97" s="19">
        <v>1057</v>
      </c>
      <c r="G97" s="19">
        <v>6294</v>
      </c>
      <c r="H97" s="19">
        <v>8</v>
      </c>
      <c r="I97" s="19">
        <v>6302</v>
      </c>
    </row>
    <row r="98" spans="1:9" x14ac:dyDescent="0.45">
      <c r="A98" s="18" t="s">
        <v>30</v>
      </c>
      <c r="B98" s="18" t="s">
        <v>30</v>
      </c>
      <c r="C98" s="18" t="s">
        <v>451</v>
      </c>
      <c r="D98" s="19">
        <v>59</v>
      </c>
      <c r="E98" s="19">
        <v>347</v>
      </c>
      <c r="G98" s="19">
        <v>407</v>
      </c>
      <c r="H98" s="19">
        <v>7</v>
      </c>
      <c r="I98" s="19">
        <v>414</v>
      </c>
    </row>
    <row r="99" spans="1:9" ht="21.75" thickBot="1" x14ac:dyDescent="0.5">
      <c r="A99" s="90"/>
      <c r="B99" s="90"/>
      <c r="C99" s="90"/>
      <c r="D99" s="91">
        <f>SUM(D90:D98)</f>
        <v>5025</v>
      </c>
      <c r="E99" s="91">
        <f>SUM(E90:E98)</f>
        <v>15078</v>
      </c>
      <c r="G99" s="91">
        <f t="shared" ref="G99:I99" si="12">SUM(G90:G98)</f>
        <v>20412</v>
      </c>
      <c r="H99" s="91">
        <f t="shared" si="12"/>
        <v>250</v>
      </c>
      <c r="I99" s="91">
        <f t="shared" si="12"/>
        <v>20662</v>
      </c>
    </row>
    <row r="100" spans="1:9" ht="21.75" thickTop="1" x14ac:dyDescent="0.45">
      <c r="H100" s="37">
        <f>H99/I99</f>
        <v>1.2099506340141323E-2</v>
      </c>
    </row>
    <row r="101" spans="1:9" x14ac:dyDescent="0.45">
      <c r="A101" s="18" t="s">
        <v>31</v>
      </c>
      <c r="B101" s="18" t="s">
        <v>31</v>
      </c>
      <c r="C101" s="18" t="s">
        <v>452</v>
      </c>
      <c r="D101" s="19">
        <v>1657</v>
      </c>
      <c r="E101" s="19">
        <v>13206</v>
      </c>
      <c r="G101" s="19">
        <v>10720</v>
      </c>
      <c r="H101" s="19">
        <v>24</v>
      </c>
      <c r="I101" s="19">
        <v>10744</v>
      </c>
    </row>
    <row r="102" spans="1:9" ht="21.75" thickBot="1" x14ac:dyDescent="0.5">
      <c r="A102" s="90"/>
      <c r="B102" s="90"/>
      <c r="C102" s="90"/>
      <c r="D102" s="91">
        <f>D101</f>
        <v>1657</v>
      </c>
      <c r="E102" s="91">
        <f>E101</f>
        <v>13206</v>
      </c>
      <c r="G102" s="91">
        <f t="shared" ref="G102:I102" si="13">G101</f>
        <v>10720</v>
      </c>
      <c r="H102" s="91">
        <f t="shared" si="13"/>
        <v>24</v>
      </c>
      <c r="I102" s="91">
        <f t="shared" si="13"/>
        <v>10744</v>
      </c>
    </row>
    <row r="103" spans="1:9" ht="21.75" thickTop="1" x14ac:dyDescent="0.45">
      <c r="H103" s="37">
        <f>H102/I102</f>
        <v>2.2338049143708115E-3</v>
      </c>
    </row>
    <row r="104" spans="1:9" x14ac:dyDescent="0.45">
      <c r="A104" s="18" t="s">
        <v>32</v>
      </c>
      <c r="B104" s="18" t="s">
        <v>32</v>
      </c>
      <c r="C104" s="18" t="s">
        <v>453</v>
      </c>
      <c r="D104" s="19">
        <v>4542</v>
      </c>
      <c r="E104" s="19">
        <v>15463</v>
      </c>
      <c r="G104" s="19">
        <v>16890</v>
      </c>
      <c r="H104" s="19">
        <v>3832</v>
      </c>
      <c r="I104" s="19">
        <v>20722</v>
      </c>
    </row>
    <row r="105" spans="1:9" ht="21.75" thickBot="1" x14ac:dyDescent="0.5">
      <c r="A105" s="90"/>
      <c r="B105" s="90"/>
      <c r="C105" s="90"/>
      <c r="D105" s="91">
        <f>D104</f>
        <v>4542</v>
      </c>
      <c r="E105" s="91">
        <f>E104</f>
        <v>15463</v>
      </c>
      <c r="G105" s="91">
        <f t="shared" ref="G105:I105" si="14">G104</f>
        <v>16890</v>
      </c>
      <c r="H105" s="91">
        <f t="shared" si="14"/>
        <v>3832</v>
      </c>
      <c r="I105" s="91">
        <f t="shared" si="14"/>
        <v>20722</v>
      </c>
    </row>
    <row r="106" spans="1:9" ht="21.75" thickTop="1" x14ac:dyDescent="0.45">
      <c r="H106" s="37">
        <f>H105/I105</f>
        <v>0.18492423511244088</v>
      </c>
    </row>
    <row r="107" spans="1:9" x14ac:dyDescent="0.45">
      <c r="A107" s="18" t="s">
        <v>164</v>
      </c>
      <c r="B107" s="18" t="s">
        <v>454</v>
      </c>
      <c r="C107" s="18" t="s">
        <v>455</v>
      </c>
      <c r="D107" s="19">
        <v>1431</v>
      </c>
      <c r="E107" s="19">
        <v>5446</v>
      </c>
      <c r="G107" s="19">
        <v>9895</v>
      </c>
      <c r="H107" s="19">
        <v>93</v>
      </c>
      <c r="I107" s="19">
        <v>9988</v>
      </c>
    </row>
    <row r="108" spans="1:9" ht="21.75" thickBot="1" x14ac:dyDescent="0.5">
      <c r="A108" s="90"/>
      <c r="B108" s="90"/>
      <c r="C108" s="90"/>
      <c r="D108" s="91">
        <f>D107</f>
        <v>1431</v>
      </c>
      <c r="E108" s="91">
        <f>E107</f>
        <v>5446</v>
      </c>
      <c r="G108" s="91">
        <f t="shared" ref="G108:I108" si="15">G107</f>
        <v>9895</v>
      </c>
      <c r="H108" s="91">
        <f t="shared" si="15"/>
        <v>93</v>
      </c>
      <c r="I108" s="91">
        <f t="shared" si="15"/>
        <v>9988</v>
      </c>
    </row>
    <row r="109" spans="1:9" ht="21.75" thickTop="1" x14ac:dyDescent="0.45">
      <c r="H109" s="37">
        <f>H108/I108</f>
        <v>9.3111734080897068E-3</v>
      </c>
    </row>
    <row r="110" spans="1:9" x14ac:dyDescent="0.45">
      <c r="A110" s="18" t="s">
        <v>374</v>
      </c>
      <c r="B110" s="18" t="s">
        <v>456</v>
      </c>
      <c r="C110" s="18" t="s">
        <v>457</v>
      </c>
      <c r="D110" s="19">
        <v>61</v>
      </c>
      <c r="E110" s="19">
        <v>572</v>
      </c>
    </row>
    <row r="111" spans="1:9" x14ac:dyDescent="0.45">
      <c r="A111" s="18" t="s">
        <v>374</v>
      </c>
      <c r="B111" s="18" t="s">
        <v>456</v>
      </c>
      <c r="C111" s="18" t="s">
        <v>458</v>
      </c>
      <c r="D111" s="19">
        <v>56</v>
      </c>
      <c r="E111" s="19">
        <v>958</v>
      </c>
    </row>
    <row r="112" spans="1:9" x14ac:dyDescent="0.45">
      <c r="A112" s="18" t="s">
        <v>374</v>
      </c>
      <c r="B112" s="18" t="s">
        <v>459</v>
      </c>
      <c r="C112" s="18" t="s">
        <v>460</v>
      </c>
      <c r="D112" s="19">
        <v>193</v>
      </c>
      <c r="E112" s="19">
        <v>4142</v>
      </c>
    </row>
    <row r="113" spans="1:5" x14ac:dyDescent="0.45">
      <c r="A113" s="18" t="s">
        <v>374</v>
      </c>
      <c r="B113" s="18" t="s">
        <v>411</v>
      </c>
      <c r="C113" s="18" t="s">
        <v>461</v>
      </c>
      <c r="D113" s="19">
        <v>0</v>
      </c>
      <c r="E113" s="19">
        <v>1</v>
      </c>
    </row>
    <row r="114" spans="1:5" x14ac:dyDescent="0.45">
      <c r="A114" s="18" t="s">
        <v>374</v>
      </c>
      <c r="B114" s="18" t="s">
        <v>462</v>
      </c>
      <c r="C114" s="18" t="s">
        <v>463</v>
      </c>
      <c r="D114" s="19">
        <v>4</v>
      </c>
      <c r="E114" s="19">
        <v>22</v>
      </c>
    </row>
    <row r="116" spans="1:5" x14ac:dyDescent="0.45">
      <c r="A116" s="18" t="s">
        <v>464</v>
      </c>
      <c r="B116" s="18" t="s">
        <v>465</v>
      </c>
      <c r="C116" s="18" t="s">
        <v>466</v>
      </c>
      <c r="D116" s="19">
        <v>913</v>
      </c>
      <c r="E116" s="19">
        <v>16317</v>
      </c>
    </row>
    <row r="117" spans="1:5" x14ac:dyDescent="0.45">
      <c r="A117" s="18" t="s">
        <v>464</v>
      </c>
      <c r="B117" s="18" t="s">
        <v>465</v>
      </c>
      <c r="C117" s="18" t="s">
        <v>467</v>
      </c>
      <c r="D117" s="19">
        <v>190</v>
      </c>
      <c r="E117" s="19">
        <v>3504</v>
      </c>
    </row>
    <row r="118" spans="1:5" x14ac:dyDescent="0.45">
      <c r="A118" s="18" t="s">
        <v>464</v>
      </c>
      <c r="B118" s="18" t="s">
        <v>465</v>
      </c>
      <c r="C118" s="18" t="s">
        <v>468</v>
      </c>
      <c r="D118" s="19">
        <v>11</v>
      </c>
      <c r="E118" s="19">
        <v>183</v>
      </c>
    </row>
    <row r="119" spans="1:5" x14ac:dyDescent="0.45">
      <c r="A119" s="18" t="s">
        <v>464</v>
      </c>
      <c r="B119" s="18" t="s">
        <v>465</v>
      </c>
      <c r="C119" s="18" t="s">
        <v>469</v>
      </c>
      <c r="D119" s="19">
        <v>134</v>
      </c>
      <c r="E119" s="19">
        <v>1337</v>
      </c>
    </row>
    <row r="120" spans="1:5" x14ac:dyDescent="0.45">
      <c r="A120" s="18" t="s">
        <v>464</v>
      </c>
      <c r="B120" s="18" t="s">
        <v>465</v>
      </c>
      <c r="C120" s="18" t="s">
        <v>470</v>
      </c>
      <c r="D120" s="19">
        <v>95</v>
      </c>
      <c r="E120" s="19">
        <v>757</v>
      </c>
    </row>
    <row r="121" spans="1:5" x14ac:dyDescent="0.45">
      <c r="A121" s="18" t="s">
        <v>464</v>
      </c>
      <c r="B121" s="18" t="s">
        <v>465</v>
      </c>
      <c r="C121" s="18" t="s">
        <v>471</v>
      </c>
      <c r="D121" s="19">
        <v>57</v>
      </c>
      <c r="E121" s="19">
        <v>458</v>
      </c>
    </row>
    <row r="122" spans="1:5" x14ac:dyDescent="0.45">
      <c r="A122" s="18" t="s">
        <v>464</v>
      </c>
      <c r="B122" s="18" t="s">
        <v>465</v>
      </c>
      <c r="C122" s="18" t="s">
        <v>472</v>
      </c>
      <c r="D122" s="19">
        <v>104</v>
      </c>
      <c r="E122" s="19">
        <v>2352</v>
      </c>
    </row>
    <row r="123" spans="1:5" x14ac:dyDescent="0.45">
      <c r="A123" s="18" t="s">
        <v>464</v>
      </c>
      <c r="B123" s="18" t="s">
        <v>473</v>
      </c>
      <c r="C123" s="18" t="s">
        <v>474</v>
      </c>
      <c r="D123" s="19">
        <v>558</v>
      </c>
      <c r="E123" s="19">
        <v>8412</v>
      </c>
    </row>
    <row r="124" spans="1:5" x14ac:dyDescent="0.45">
      <c r="A124" s="18" t="s">
        <v>464</v>
      </c>
      <c r="B124" s="18" t="s">
        <v>473</v>
      </c>
      <c r="C124" s="18" t="s">
        <v>475</v>
      </c>
      <c r="D124" s="19">
        <v>140</v>
      </c>
      <c r="E124" s="19">
        <v>2132</v>
      </c>
    </row>
    <row r="125" spans="1:5" x14ac:dyDescent="0.45">
      <c r="A125" s="18" t="s">
        <v>464</v>
      </c>
      <c r="B125" s="18" t="s">
        <v>473</v>
      </c>
      <c r="C125" s="18" t="s">
        <v>476</v>
      </c>
      <c r="D125" s="19">
        <v>2616</v>
      </c>
      <c r="E125" s="19">
        <v>25675</v>
      </c>
    </row>
    <row r="126" spans="1:5" x14ac:dyDescent="0.45">
      <c r="A126" s="18" t="s">
        <v>464</v>
      </c>
      <c r="B126" s="18" t="s">
        <v>473</v>
      </c>
      <c r="C126" s="18" t="s">
        <v>477</v>
      </c>
      <c r="D126" s="19">
        <v>685</v>
      </c>
      <c r="E126" s="19">
        <v>14696</v>
      </c>
    </row>
    <row r="127" spans="1:5" x14ac:dyDescent="0.45">
      <c r="A127" s="18" t="s">
        <v>464</v>
      </c>
      <c r="B127" s="18" t="s">
        <v>473</v>
      </c>
      <c r="C127" s="18" t="s">
        <v>478</v>
      </c>
      <c r="D127" s="19">
        <v>893</v>
      </c>
      <c r="E127" s="19">
        <v>12626</v>
      </c>
    </row>
    <row r="128" spans="1:5" x14ac:dyDescent="0.45">
      <c r="A128" s="18" t="s">
        <v>464</v>
      </c>
      <c r="B128" s="18" t="s">
        <v>473</v>
      </c>
      <c r="C128" s="18" t="s">
        <v>479</v>
      </c>
      <c r="D128" s="19">
        <v>123</v>
      </c>
      <c r="E128" s="19">
        <v>2652</v>
      </c>
    </row>
    <row r="129" spans="1:5" x14ac:dyDescent="0.45">
      <c r="A129" s="18" t="s">
        <v>464</v>
      </c>
      <c r="B129" s="18" t="s">
        <v>473</v>
      </c>
      <c r="C129" s="18" t="s">
        <v>480</v>
      </c>
      <c r="D129" s="19">
        <v>2146</v>
      </c>
      <c r="E129" s="19">
        <v>10417</v>
      </c>
    </row>
    <row r="130" spans="1:5" x14ac:dyDescent="0.45">
      <c r="A130" s="18" t="s">
        <v>464</v>
      </c>
      <c r="B130" s="18" t="s">
        <v>473</v>
      </c>
      <c r="C130" s="18" t="s">
        <v>481</v>
      </c>
      <c r="D130" s="19">
        <v>363</v>
      </c>
      <c r="E130" s="19">
        <v>4812</v>
      </c>
    </row>
    <row r="131" spans="1:5" x14ac:dyDescent="0.45">
      <c r="A131" s="18" t="s">
        <v>464</v>
      </c>
      <c r="B131" s="18" t="s">
        <v>473</v>
      </c>
      <c r="C131" s="18" t="s">
        <v>482</v>
      </c>
      <c r="D131" s="19">
        <v>758</v>
      </c>
      <c r="E131" s="19">
        <v>9560</v>
      </c>
    </row>
    <row r="132" spans="1:5" x14ac:dyDescent="0.45">
      <c r="A132" s="18" t="s">
        <v>464</v>
      </c>
      <c r="B132" s="18" t="s">
        <v>141</v>
      </c>
      <c r="C132" s="18" t="s">
        <v>483</v>
      </c>
      <c r="D132" s="19">
        <v>2210</v>
      </c>
      <c r="E132" s="19">
        <v>9225</v>
      </c>
    </row>
    <row r="133" spans="1:5" x14ac:dyDescent="0.45">
      <c r="A133" s="18" t="s">
        <v>464</v>
      </c>
      <c r="B133" s="18" t="s">
        <v>141</v>
      </c>
      <c r="C133" s="18" t="s">
        <v>484</v>
      </c>
      <c r="D133" s="19">
        <v>1302</v>
      </c>
      <c r="E133" s="19">
        <v>8781</v>
      </c>
    </row>
    <row r="134" spans="1:5" x14ac:dyDescent="0.45">
      <c r="A134" s="18" t="s">
        <v>464</v>
      </c>
      <c r="B134" s="18" t="s">
        <v>141</v>
      </c>
      <c r="C134" s="18" t="s">
        <v>485</v>
      </c>
      <c r="D134" s="19">
        <v>5524</v>
      </c>
      <c r="E134" s="19">
        <v>40150</v>
      </c>
    </row>
    <row r="135" spans="1:5" x14ac:dyDescent="0.45">
      <c r="A135" s="92" t="s">
        <v>321</v>
      </c>
      <c r="B135" s="92" t="s">
        <v>486</v>
      </c>
      <c r="C135" s="92" t="s">
        <v>487</v>
      </c>
      <c r="D135" s="93">
        <v>518</v>
      </c>
      <c r="E135" s="93">
        <v>1752</v>
      </c>
    </row>
    <row r="136" spans="1:5" x14ac:dyDescent="0.45">
      <c r="A136" s="92" t="s">
        <v>321</v>
      </c>
      <c r="B136" s="92" t="s">
        <v>488</v>
      </c>
      <c r="C136" s="92" t="s">
        <v>489</v>
      </c>
      <c r="D136" s="93">
        <v>406</v>
      </c>
      <c r="E136" s="93">
        <v>1536</v>
      </c>
    </row>
    <row r="137" spans="1:5" x14ac:dyDescent="0.45">
      <c r="A137" s="92" t="s">
        <v>321</v>
      </c>
      <c r="B137" s="92" t="s">
        <v>488</v>
      </c>
      <c r="C137" s="92" t="s">
        <v>490</v>
      </c>
      <c r="D137" s="93">
        <v>413</v>
      </c>
      <c r="E137" s="93">
        <v>2364</v>
      </c>
    </row>
    <row r="138" spans="1:5" x14ac:dyDescent="0.45">
      <c r="A138" s="92" t="s">
        <v>321</v>
      </c>
      <c r="B138" s="92" t="s">
        <v>491</v>
      </c>
      <c r="C138" s="92" t="s">
        <v>492</v>
      </c>
      <c r="D138" s="93">
        <v>165</v>
      </c>
      <c r="E138" s="93">
        <v>1016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sheetPr>
  <dimension ref="A1:E12"/>
  <sheetViews>
    <sheetView workbookViewId="0">
      <selection activeCell="J33" sqref="J33"/>
    </sheetView>
  </sheetViews>
  <sheetFormatPr defaultRowHeight="15" x14ac:dyDescent="0.25"/>
  <cols>
    <col min="1" max="1" width="17.7109375" bestFit="1" customWidth="1"/>
    <col min="2" max="2" width="18" bestFit="1" customWidth="1"/>
    <col min="3" max="3" width="15.7109375" bestFit="1" customWidth="1"/>
    <col min="4" max="4" width="28.5703125" bestFit="1" customWidth="1"/>
    <col min="5" max="5" width="12.140625" bestFit="1" customWidth="1"/>
  </cols>
  <sheetData>
    <row r="1" spans="1:5" x14ac:dyDescent="0.25">
      <c r="A1" s="107" t="s">
        <v>511</v>
      </c>
      <c r="B1" s="107" t="s">
        <v>512</v>
      </c>
      <c r="C1" s="107" t="s">
        <v>340</v>
      </c>
      <c r="D1" s="108" t="s">
        <v>341</v>
      </c>
      <c r="E1" s="108" t="s">
        <v>342</v>
      </c>
    </row>
    <row r="2" spans="1:5" x14ac:dyDescent="0.25">
      <c r="A2" s="227" t="s">
        <v>513</v>
      </c>
      <c r="B2" s="227" t="s">
        <v>141</v>
      </c>
      <c r="C2" s="227" t="s">
        <v>485</v>
      </c>
      <c r="D2" s="109">
        <v>5524</v>
      </c>
      <c r="E2" s="109">
        <v>40150</v>
      </c>
    </row>
    <row r="3" spans="1:5" x14ac:dyDescent="0.25">
      <c r="A3" s="227" t="s">
        <v>514</v>
      </c>
      <c r="B3" s="227" t="s">
        <v>473</v>
      </c>
      <c r="C3" s="227" t="s">
        <v>482</v>
      </c>
      <c r="D3" s="109">
        <v>758</v>
      </c>
      <c r="E3" s="109">
        <v>9560</v>
      </c>
    </row>
    <row r="4" spans="1:5" x14ac:dyDescent="0.25">
      <c r="A4" s="268" t="s">
        <v>515</v>
      </c>
      <c r="B4" s="268" t="s">
        <v>473</v>
      </c>
      <c r="C4" s="227" t="s">
        <v>474</v>
      </c>
      <c r="D4" s="109">
        <v>558</v>
      </c>
      <c r="E4" s="109">
        <v>8412</v>
      </c>
    </row>
    <row r="5" spans="1:5" x14ac:dyDescent="0.25">
      <c r="A5" s="269"/>
      <c r="B5" s="269"/>
      <c r="C5" s="227" t="s">
        <v>475</v>
      </c>
      <c r="D5" s="109">
        <v>140</v>
      </c>
      <c r="E5" s="109">
        <v>2132</v>
      </c>
    </row>
    <row r="6" spans="1:5" x14ac:dyDescent="0.25">
      <c r="A6" s="269"/>
      <c r="B6" s="269"/>
      <c r="C6" s="227" t="s">
        <v>476</v>
      </c>
      <c r="D6" s="109">
        <v>2616</v>
      </c>
      <c r="E6" s="109">
        <v>25675</v>
      </c>
    </row>
    <row r="7" spans="1:5" x14ac:dyDescent="0.25">
      <c r="A7" s="269"/>
      <c r="B7" s="269"/>
      <c r="C7" s="227" t="s">
        <v>477</v>
      </c>
      <c r="D7" s="109">
        <v>685</v>
      </c>
      <c r="E7" s="109">
        <v>14696</v>
      </c>
    </row>
    <row r="8" spans="1:5" x14ac:dyDescent="0.25">
      <c r="A8" s="269"/>
      <c r="B8" s="269"/>
      <c r="C8" s="227" t="s">
        <v>478</v>
      </c>
      <c r="D8" s="109">
        <v>893</v>
      </c>
      <c r="E8" s="109">
        <v>12626</v>
      </c>
    </row>
    <row r="9" spans="1:5" x14ac:dyDescent="0.25">
      <c r="A9" s="269"/>
      <c r="B9" s="269"/>
      <c r="C9" s="227" t="s">
        <v>479</v>
      </c>
      <c r="D9" s="109">
        <v>123</v>
      </c>
      <c r="E9" s="109">
        <v>2652</v>
      </c>
    </row>
    <row r="10" spans="1:5" x14ac:dyDescent="0.25">
      <c r="A10" s="269"/>
      <c r="B10" s="269"/>
      <c r="C10" s="227" t="s">
        <v>480</v>
      </c>
      <c r="D10" s="109">
        <v>2146</v>
      </c>
      <c r="E10" s="109">
        <v>10417</v>
      </c>
    </row>
    <row r="11" spans="1:5" x14ac:dyDescent="0.25">
      <c r="A11" s="269"/>
      <c r="B11" s="269"/>
      <c r="C11" s="227" t="s">
        <v>481</v>
      </c>
      <c r="D11" s="109">
        <v>363</v>
      </c>
      <c r="E11" s="109">
        <v>4812</v>
      </c>
    </row>
    <row r="12" spans="1:5" x14ac:dyDescent="0.25">
      <c r="A12" s="268" t="s">
        <v>516</v>
      </c>
      <c r="B12" s="269"/>
      <c r="C12" s="269"/>
      <c r="D12" s="109">
        <v>13806</v>
      </c>
      <c r="E12" s="109">
        <v>131132</v>
      </c>
    </row>
  </sheetData>
  <mergeCells count="3">
    <mergeCell ref="A4:A11"/>
    <mergeCell ref="B4:B11"/>
    <mergeCell ref="A12:C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O26"/>
  <sheetViews>
    <sheetView workbookViewId="0">
      <selection activeCell="L32" sqref="L32"/>
    </sheetView>
  </sheetViews>
  <sheetFormatPr defaultRowHeight="15" x14ac:dyDescent="0.25"/>
  <cols>
    <col min="1" max="1" width="27.5703125" bestFit="1" customWidth="1"/>
    <col min="2" max="2" width="13.85546875" customWidth="1"/>
    <col min="3" max="3" width="14.140625" customWidth="1"/>
    <col min="4" max="4" width="12.140625" customWidth="1"/>
    <col min="5" max="5" width="13.28515625" customWidth="1"/>
    <col min="6" max="6" width="12.42578125" customWidth="1"/>
    <col min="7" max="7" width="12" customWidth="1"/>
    <col min="8" max="8" width="12.42578125" customWidth="1"/>
    <col min="9" max="9" width="15.85546875" customWidth="1"/>
    <col min="10" max="10" width="13.140625" customWidth="1"/>
    <col min="11" max="11" width="13.85546875" customWidth="1"/>
    <col min="12" max="12" width="13.28515625" customWidth="1"/>
  </cols>
  <sheetData>
    <row r="1" spans="1:15" s="103" customFormat="1" ht="46.5" customHeight="1" x14ac:dyDescent="0.25">
      <c r="A1" s="101" t="s">
        <v>517</v>
      </c>
      <c r="B1" s="102" t="s">
        <v>518</v>
      </c>
      <c r="C1" s="100" t="s">
        <v>519</v>
      </c>
      <c r="D1" s="100" t="s">
        <v>520</v>
      </c>
      <c r="E1" s="100" t="s">
        <v>521</v>
      </c>
      <c r="F1" s="100" t="s">
        <v>522</v>
      </c>
      <c r="G1" s="100" t="s">
        <v>523</v>
      </c>
      <c r="H1" s="100" t="s">
        <v>524</v>
      </c>
      <c r="I1" s="100" t="s">
        <v>267</v>
      </c>
      <c r="J1" s="100" t="s">
        <v>525</v>
      </c>
      <c r="K1" s="100" t="s">
        <v>526</v>
      </c>
      <c r="L1" s="100" t="s">
        <v>527</v>
      </c>
      <c r="N1" s="103" t="s">
        <v>528</v>
      </c>
      <c r="O1" s="103" t="s">
        <v>528</v>
      </c>
    </row>
    <row r="2" spans="1:15" x14ac:dyDescent="0.25">
      <c r="A2" t="s">
        <v>529</v>
      </c>
      <c r="B2" s="7"/>
      <c r="C2" s="8"/>
      <c r="J2" s="4"/>
    </row>
    <row r="3" spans="1:15" x14ac:dyDescent="0.25">
      <c r="A3" t="s">
        <v>530</v>
      </c>
      <c r="B3" s="7"/>
      <c r="C3" s="8"/>
      <c r="J3" s="4"/>
    </row>
    <row r="4" spans="1:15" x14ac:dyDescent="0.25">
      <c r="A4" t="s">
        <v>531</v>
      </c>
      <c r="B4" s="7"/>
      <c r="C4" s="8"/>
      <c r="J4" s="4"/>
    </row>
    <row r="5" spans="1:15" x14ac:dyDescent="0.25">
      <c r="A5" t="s">
        <v>17</v>
      </c>
      <c r="B5" s="1"/>
      <c r="C5" s="1"/>
      <c r="F5" s="11"/>
      <c r="G5" s="3"/>
      <c r="H5" s="3"/>
      <c r="J5" s="4"/>
      <c r="K5" s="9"/>
      <c r="L5" s="10"/>
    </row>
    <row r="6" spans="1:15" x14ac:dyDescent="0.25">
      <c r="A6" t="s">
        <v>532</v>
      </c>
      <c r="B6" s="1"/>
      <c r="C6" s="1"/>
      <c r="F6" s="11"/>
      <c r="G6" s="3"/>
      <c r="H6" s="3"/>
      <c r="J6" s="4"/>
      <c r="K6" s="9"/>
      <c r="L6" s="10"/>
    </row>
    <row r="7" spans="1:15" x14ac:dyDescent="0.25">
      <c r="A7" t="s">
        <v>496</v>
      </c>
      <c r="B7" s="1"/>
      <c r="C7" s="1"/>
      <c r="F7" s="11"/>
      <c r="G7" s="3"/>
      <c r="H7" s="3"/>
      <c r="J7" s="4"/>
      <c r="K7" s="9"/>
      <c r="L7" s="10"/>
    </row>
    <row r="8" spans="1:15" x14ac:dyDescent="0.25">
      <c r="A8" t="s">
        <v>20</v>
      </c>
      <c r="B8" s="1"/>
      <c r="C8" s="1"/>
      <c r="F8" s="11"/>
      <c r="G8" s="3"/>
      <c r="H8" s="3"/>
      <c r="J8" s="4"/>
      <c r="K8" s="9"/>
      <c r="L8" s="10"/>
    </row>
    <row r="9" spans="1:15" x14ac:dyDescent="0.25">
      <c r="A9" t="s">
        <v>21</v>
      </c>
      <c r="B9" s="1">
        <f>75*12</f>
        <v>900</v>
      </c>
      <c r="C9" s="1">
        <v>1</v>
      </c>
      <c r="D9">
        <v>90</v>
      </c>
      <c r="E9" s="1" t="e">
        <f>ROUNDDOWN((#REF!*60/D9),0)*#REF!*#REF!</f>
        <v>#REF!</v>
      </c>
      <c r="F9" s="1">
        <f>ROUNDUP((B9/C9),0)</f>
        <v>900</v>
      </c>
      <c r="G9" s="3" t="e">
        <f>F9/E9</f>
        <v>#REF!</v>
      </c>
      <c r="H9" s="3">
        <v>0.85</v>
      </c>
      <c r="I9">
        <f>D9</f>
        <v>90</v>
      </c>
      <c r="J9" s="4" t="e">
        <f>#REF!</f>
        <v>#REF!</v>
      </c>
      <c r="K9" s="9" t="e">
        <f>(((J9+1)*B9)/(E9*H9))</f>
        <v>#REF!</v>
      </c>
      <c r="L9" s="10" t="e">
        <f>ROUNDUP((((J9+1)^(#REF!-#REF!))*B9)/(E9*H9),0)+3</f>
        <v>#REF!</v>
      </c>
      <c r="N9" s="11" t="e">
        <f>H9*E9</f>
        <v>#REF!</v>
      </c>
    </row>
    <row r="10" spans="1:15" x14ac:dyDescent="0.25">
      <c r="A10" t="s">
        <v>22</v>
      </c>
      <c r="B10" s="1"/>
      <c r="C10" s="1"/>
      <c r="F10" s="11"/>
      <c r="G10" s="3"/>
      <c r="H10" s="3"/>
      <c r="J10" s="4"/>
      <c r="K10" s="9"/>
      <c r="L10" s="10"/>
    </row>
    <row r="11" spans="1:15" x14ac:dyDescent="0.25">
      <c r="A11" t="s">
        <v>23</v>
      </c>
      <c r="B11" s="1"/>
      <c r="C11" s="1"/>
      <c r="F11" s="11"/>
      <c r="G11" s="3"/>
      <c r="H11" s="3"/>
      <c r="J11" s="4"/>
      <c r="K11" s="9"/>
      <c r="L11" s="10"/>
    </row>
    <row r="12" spans="1:15" x14ac:dyDescent="0.25">
      <c r="A12" t="s">
        <v>24</v>
      </c>
      <c r="B12" s="1"/>
      <c r="C12" s="1"/>
      <c r="F12" s="11"/>
      <c r="G12" s="3"/>
      <c r="H12" s="3"/>
      <c r="J12" s="4"/>
      <c r="K12" s="9"/>
      <c r="L12" s="10"/>
    </row>
    <row r="13" spans="1:15" x14ac:dyDescent="0.25">
      <c r="A13" t="s">
        <v>533</v>
      </c>
      <c r="B13" s="1"/>
      <c r="C13" s="1"/>
      <c r="F13" s="11"/>
      <c r="G13" s="3"/>
      <c r="H13" s="3"/>
      <c r="J13" s="4"/>
      <c r="K13" s="9"/>
      <c r="L13" s="10"/>
    </row>
    <row r="14" spans="1:15" x14ac:dyDescent="0.25">
      <c r="A14" t="s">
        <v>499</v>
      </c>
      <c r="B14" s="1"/>
      <c r="C14" s="1"/>
      <c r="F14" s="11"/>
      <c r="G14" s="3"/>
      <c r="H14" s="3"/>
      <c r="J14" s="4"/>
      <c r="K14" s="9"/>
      <c r="L14" s="10"/>
    </row>
    <row r="15" spans="1:15" ht="15.75" customHeight="1" x14ac:dyDescent="0.25">
      <c r="A15" t="s">
        <v>25</v>
      </c>
      <c r="B15" s="1">
        <f>(66+20)*48</f>
        <v>4128</v>
      </c>
      <c r="C15" s="1">
        <v>2</v>
      </c>
      <c r="D15">
        <v>60</v>
      </c>
      <c r="E15" s="1" t="e">
        <f>ROUNDDOWN((#REF!*60/D15),0)*#REF!*#REF!</f>
        <v>#REF!</v>
      </c>
      <c r="F15" s="1">
        <f>ROUNDUP((B15/C15),0)</f>
        <v>2064</v>
      </c>
      <c r="G15" s="3" t="e">
        <f>F15/E15</f>
        <v>#REF!</v>
      </c>
      <c r="H15" s="3" t="e">
        <f>IF(G15&gt;0.39,0.65,G15+0.25)</f>
        <v>#REF!</v>
      </c>
      <c r="I15">
        <f>D15</f>
        <v>60</v>
      </c>
      <c r="J15" s="4" t="e">
        <f>#REF!</f>
        <v>#REF!</v>
      </c>
      <c r="K15" s="9" t="e">
        <f>(((J15+1)*B15)/(E15*H15))</f>
        <v>#REF!</v>
      </c>
      <c r="L15" s="10" t="e">
        <f>ROUNDUP((((J15+1)^(#REF!-#REF!))*B15)/(E15*H15),0)</f>
        <v>#REF!</v>
      </c>
      <c r="N15" s="11" t="e">
        <f>H15*E15</f>
        <v>#REF!</v>
      </c>
    </row>
    <row r="16" spans="1:15" x14ac:dyDescent="0.25">
      <c r="A16" t="s">
        <v>26</v>
      </c>
      <c r="B16" s="1"/>
      <c r="C16" s="1"/>
      <c r="F16" s="11"/>
      <c r="G16" s="3"/>
      <c r="H16" s="3"/>
      <c r="J16" s="4"/>
      <c r="K16" s="9"/>
      <c r="L16" s="10"/>
    </row>
    <row r="17" spans="1:14" x14ac:dyDescent="0.25">
      <c r="A17" t="s">
        <v>27</v>
      </c>
      <c r="B17" s="1">
        <v>3840</v>
      </c>
      <c r="C17" s="1">
        <v>3</v>
      </c>
      <c r="D17">
        <v>90</v>
      </c>
      <c r="E17" s="1" t="e">
        <f>ROUNDDOWN((#REF!*60/D17),0)*#REF!*#REF!</f>
        <v>#REF!</v>
      </c>
      <c r="F17" s="1">
        <f>ROUNDUP((B17/C17),0)</f>
        <v>1280</v>
      </c>
      <c r="G17" s="3" t="e">
        <f>F17/E17</f>
        <v>#REF!</v>
      </c>
      <c r="H17" s="3">
        <v>0.85</v>
      </c>
      <c r="I17">
        <f>D17</f>
        <v>90</v>
      </c>
      <c r="J17" s="4" t="e">
        <f>#REF!</f>
        <v>#REF!</v>
      </c>
      <c r="K17" s="9" t="e">
        <f>(((J17+1)*B17)/(E17*H17))</f>
        <v>#REF!</v>
      </c>
      <c r="L17" s="10" t="e">
        <f>ROUNDUP((((J17+1)^(#REF!-#REF!))*B17)/(E17*H17),0)</f>
        <v>#REF!</v>
      </c>
      <c r="N17" s="11" t="e">
        <f>H17*E17</f>
        <v>#REF!</v>
      </c>
    </row>
    <row r="18" spans="1:14" x14ac:dyDescent="0.25">
      <c r="A18" t="s">
        <v>28</v>
      </c>
      <c r="B18" s="1"/>
      <c r="C18" s="1"/>
      <c r="F18" s="11"/>
      <c r="G18" s="3"/>
      <c r="H18" s="3"/>
      <c r="J18" s="4"/>
      <c r="K18" s="9"/>
      <c r="L18" s="10"/>
    </row>
    <row r="19" spans="1:14" x14ac:dyDescent="0.25">
      <c r="A19" t="s">
        <v>29</v>
      </c>
      <c r="B19" s="1"/>
      <c r="C19" s="1"/>
      <c r="F19" s="11"/>
      <c r="G19" s="3"/>
      <c r="H19" s="3"/>
      <c r="J19" s="4"/>
      <c r="K19" s="9"/>
      <c r="L19" s="10"/>
    </row>
    <row r="20" spans="1:14" x14ac:dyDescent="0.25">
      <c r="A20" t="s">
        <v>30</v>
      </c>
      <c r="B20" s="1"/>
      <c r="C20" s="1"/>
      <c r="F20" s="11"/>
      <c r="G20" s="3"/>
      <c r="H20" s="3"/>
      <c r="J20" s="4"/>
      <c r="K20" s="9"/>
      <c r="L20" s="10"/>
    </row>
    <row r="21" spans="1:14" x14ac:dyDescent="0.25">
      <c r="A21" t="s">
        <v>31</v>
      </c>
      <c r="B21" s="1"/>
      <c r="C21" s="1"/>
      <c r="F21" s="11"/>
      <c r="G21" s="3"/>
      <c r="H21" s="3"/>
      <c r="J21" s="4"/>
      <c r="K21" s="9"/>
      <c r="L21" s="10"/>
    </row>
    <row r="22" spans="1:14" x14ac:dyDescent="0.25">
      <c r="A22" t="s">
        <v>32</v>
      </c>
      <c r="B22" s="1">
        <f>75*48</f>
        <v>3600</v>
      </c>
      <c r="C22" s="1">
        <v>3</v>
      </c>
      <c r="D22">
        <v>60</v>
      </c>
      <c r="E22" s="1" t="e">
        <f>ROUNDDOWN((#REF!*60/D22),0)*#REF!*#REF!</f>
        <v>#REF!</v>
      </c>
      <c r="F22" s="1">
        <f>ROUNDUP((B22/C22),0)</f>
        <v>1200</v>
      </c>
      <c r="G22" s="3" t="e">
        <f>F22/E22</f>
        <v>#REF!</v>
      </c>
      <c r="H22" s="3" t="e">
        <f>IF(G22&gt;0.39,0.65,G22+0.25)</f>
        <v>#REF!</v>
      </c>
      <c r="I22">
        <f>D22</f>
        <v>60</v>
      </c>
      <c r="J22" s="4" t="e">
        <f>#REF!</f>
        <v>#REF!</v>
      </c>
      <c r="K22" s="9" t="e">
        <f>(((J22+1)*B22)/(E22*H22))</f>
        <v>#REF!</v>
      </c>
      <c r="L22" s="10" t="e">
        <f>ROUNDUP((((J22+1)^(#REF!-#REF!))*B22)/(E22*H22),0)</f>
        <v>#REF!</v>
      </c>
      <c r="N22" s="11" t="e">
        <f>H22*E22</f>
        <v>#REF!</v>
      </c>
    </row>
    <row r="23" spans="1:14" x14ac:dyDescent="0.25">
      <c r="A23" t="s">
        <v>33</v>
      </c>
      <c r="B23" s="1">
        <f>125*48</f>
        <v>6000</v>
      </c>
      <c r="C23" s="1">
        <v>3</v>
      </c>
      <c r="D23">
        <v>60</v>
      </c>
      <c r="E23" s="1" t="e">
        <f>ROUNDDOWN((#REF!*60/D23),0)*#REF!*#REF!</f>
        <v>#REF!</v>
      </c>
      <c r="F23" s="1">
        <f>ROUNDUP((B23/C23),0)</f>
        <v>2000</v>
      </c>
      <c r="G23" s="3" t="e">
        <f>F23/E23</f>
        <v>#REF!</v>
      </c>
      <c r="H23" s="3" t="e">
        <f>IF(G23&gt;0.39,0.65,G23+0.25)</f>
        <v>#REF!</v>
      </c>
      <c r="I23">
        <f>D23</f>
        <v>60</v>
      </c>
      <c r="J23" s="4" t="e">
        <f>#REF!</f>
        <v>#REF!</v>
      </c>
      <c r="K23" s="9" t="e">
        <f>(((J23+1)*B23)/(E23*H23))</f>
        <v>#REF!</v>
      </c>
      <c r="L23" s="10">
        <v>0</v>
      </c>
      <c r="N23" s="11" t="e">
        <f>H23*E23</f>
        <v>#REF!</v>
      </c>
    </row>
    <row r="24" spans="1:14" x14ac:dyDescent="0.25">
      <c r="F24" s="11"/>
      <c r="G24" s="3"/>
      <c r="H24" s="3"/>
      <c r="J24" s="4"/>
      <c r="K24" s="9"/>
      <c r="L24" s="10"/>
    </row>
    <row r="25" spans="1:14" x14ac:dyDescent="0.25">
      <c r="B25" s="11">
        <f>SUM(B5:B23)</f>
        <v>18468</v>
      </c>
      <c r="C25" s="11">
        <f>SUM(C5:C23)</f>
        <v>12</v>
      </c>
      <c r="K25" s="9" t="e">
        <f>SUM(K2:K23)</f>
        <v>#REF!</v>
      </c>
      <c r="L25" s="9" t="e">
        <f>SUM(L2:L23)</f>
        <v>#REF!</v>
      </c>
    </row>
    <row r="26" spans="1:14" x14ac:dyDescent="0.25">
      <c r="B26" s="12"/>
      <c r="K26" s="13" t="e">
        <f>SUM(K2:K23)/COUNTA(K2:K23)</f>
        <v>#REF!</v>
      </c>
      <c r="L26" s="13" t="e">
        <f>SUM(L2:L23)/COUNTA(L2:L23)</f>
        <v>#REF!</v>
      </c>
    </row>
  </sheetData>
  <pageMargins left="0.7" right="0.7" top="0.75" bottom="0.75" header="0.3" footer="0.3"/>
  <pageSetup orientation="portrait"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sheetPr>
  <dimension ref="A1:E25"/>
  <sheetViews>
    <sheetView workbookViewId="0">
      <selection activeCell="G29" sqref="G29"/>
    </sheetView>
  </sheetViews>
  <sheetFormatPr defaultRowHeight="15" x14ac:dyDescent="0.25"/>
  <cols>
    <col min="1" max="1" width="2.85546875" bestFit="1" customWidth="1"/>
    <col min="2" max="2" width="44.85546875" customWidth="1"/>
    <col min="4" max="4" width="11.28515625" bestFit="1" customWidth="1"/>
  </cols>
  <sheetData>
    <row r="1" spans="1:5" x14ac:dyDescent="0.25">
      <c r="A1" t="s">
        <v>294</v>
      </c>
      <c r="B1" t="s">
        <v>295</v>
      </c>
      <c r="C1" t="s">
        <v>296</v>
      </c>
      <c r="D1" t="s">
        <v>297</v>
      </c>
      <c r="E1" t="s">
        <v>71</v>
      </c>
    </row>
    <row r="2" spans="1:5" x14ac:dyDescent="0.25">
      <c r="A2">
        <v>1</v>
      </c>
      <c r="B2" t="s">
        <v>298</v>
      </c>
      <c r="C2">
        <v>30</v>
      </c>
    </row>
    <row r="3" spans="1:5" x14ac:dyDescent="0.25">
      <c r="A3">
        <v>2</v>
      </c>
      <c r="B3" t="s">
        <v>299</v>
      </c>
      <c r="C3">
        <v>60</v>
      </c>
    </row>
    <row r="4" spans="1:5" x14ac:dyDescent="0.25">
      <c r="A4">
        <v>3</v>
      </c>
      <c r="B4" t="s">
        <v>300</v>
      </c>
      <c r="C4">
        <v>30</v>
      </c>
    </row>
    <row r="5" spans="1:5" x14ac:dyDescent="0.25">
      <c r="A5">
        <v>4</v>
      </c>
      <c r="B5" t="s">
        <v>301</v>
      </c>
      <c r="C5">
        <v>15</v>
      </c>
      <c r="D5">
        <v>60</v>
      </c>
    </row>
    <row r="6" spans="1:5" x14ac:dyDescent="0.25">
      <c r="A6">
        <v>5</v>
      </c>
      <c r="B6" t="s">
        <v>302</v>
      </c>
      <c r="C6">
        <v>15</v>
      </c>
    </row>
    <row r="7" spans="1:5" x14ac:dyDescent="0.25">
      <c r="A7">
        <v>6</v>
      </c>
      <c r="B7" t="s">
        <v>303</v>
      </c>
      <c r="C7">
        <v>5</v>
      </c>
      <c r="E7" t="s">
        <v>304</v>
      </c>
    </row>
    <row r="13" spans="1:5" x14ac:dyDescent="0.25">
      <c r="B13" s="177" t="s">
        <v>305</v>
      </c>
      <c r="C13" s="178" t="s">
        <v>306</v>
      </c>
    </row>
    <row r="14" spans="1:5" x14ac:dyDescent="0.25">
      <c r="B14" s="177" t="s">
        <v>307</v>
      </c>
      <c r="C14" s="178" t="s">
        <v>308</v>
      </c>
    </row>
    <row r="15" spans="1:5" x14ac:dyDescent="0.25">
      <c r="B15" s="177" t="s">
        <v>309</v>
      </c>
      <c r="C15" s="178" t="s">
        <v>310</v>
      </c>
    </row>
    <row r="18" spans="2:3" x14ac:dyDescent="0.25">
      <c r="B18" s="180" t="s">
        <v>311</v>
      </c>
      <c r="C18" s="179">
        <v>30170</v>
      </c>
    </row>
    <row r="19" spans="2:3" x14ac:dyDescent="0.25">
      <c r="B19" s="180" t="s">
        <v>312</v>
      </c>
      <c r="C19" s="179">
        <v>3024</v>
      </c>
    </row>
    <row r="20" spans="2:3" x14ac:dyDescent="0.25">
      <c r="B20" s="180" t="s">
        <v>313</v>
      </c>
      <c r="C20" s="179">
        <v>33194</v>
      </c>
    </row>
    <row r="23" spans="2:3" x14ac:dyDescent="0.25">
      <c r="B23" s="181" t="s">
        <v>314</v>
      </c>
      <c r="C23" s="181" t="s">
        <v>315</v>
      </c>
    </row>
    <row r="24" spans="2:3" x14ac:dyDescent="0.25">
      <c r="B24" s="181" t="s">
        <v>316</v>
      </c>
      <c r="C24" s="181" t="s">
        <v>317</v>
      </c>
    </row>
    <row r="25" spans="2:3" x14ac:dyDescent="0.25">
      <c r="B25" s="181" t="s">
        <v>318</v>
      </c>
      <c r="C25" s="181" t="s">
        <v>319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sheetPr>
  <dimension ref="A1:N232"/>
  <sheetViews>
    <sheetView workbookViewId="0">
      <selection activeCell="E35" sqref="E35"/>
    </sheetView>
  </sheetViews>
  <sheetFormatPr defaultRowHeight="15" x14ac:dyDescent="0.25"/>
  <cols>
    <col min="1" max="1" width="39.28515625" customWidth="1"/>
    <col min="2" max="2" width="57.7109375" customWidth="1"/>
    <col min="3" max="3" width="39.42578125" customWidth="1"/>
    <col min="4" max="4" width="17.5703125" customWidth="1"/>
    <col min="10" max="10" width="40" bestFit="1" customWidth="1"/>
    <col min="11" max="11" width="16.140625" style="6" bestFit="1" customWidth="1"/>
    <col min="12" max="12" width="18.42578125" style="1" bestFit="1" customWidth="1"/>
    <col min="13" max="13" width="10.5703125" style="1" bestFit="1" customWidth="1"/>
    <col min="14" max="14" width="9.140625" style="62"/>
  </cols>
  <sheetData>
    <row r="1" spans="1:14" s="5" customFormat="1" x14ac:dyDescent="0.25">
      <c r="A1" s="179" t="s">
        <v>547</v>
      </c>
      <c r="B1" s="179" t="s">
        <v>548</v>
      </c>
      <c r="C1" s="179" t="s">
        <v>549</v>
      </c>
      <c r="D1" s="179" t="s">
        <v>550</v>
      </c>
      <c r="E1" s="179" t="s">
        <v>534</v>
      </c>
      <c r="F1" s="179"/>
      <c r="G1" s="179"/>
      <c r="H1" s="179"/>
      <c r="I1" s="179"/>
      <c r="J1" s="179" t="s">
        <v>538</v>
      </c>
      <c r="K1" s="63" t="s">
        <v>551</v>
      </c>
      <c r="L1" s="14" t="s">
        <v>552</v>
      </c>
      <c r="M1" s="14" t="s">
        <v>543</v>
      </c>
      <c r="N1" s="64" t="s">
        <v>553</v>
      </c>
    </row>
    <row r="2" spans="1:14" x14ac:dyDescent="0.25">
      <c r="A2" t="s">
        <v>554</v>
      </c>
      <c r="B2" t="s">
        <v>33</v>
      </c>
      <c r="C2" t="s">
        <v>555</v>
      </c>
      <c r="D2" t="str">
        <f>VLOOKUP(C2,'Staffing Cohorts'!F:H,3,FALSE)</f>
        <v>SUPV / MGR</v>
      </c>
      <c r="E2">
        <v>1</v>
      </c>
      <c r="J2" t="s">
        <v>556</v>
      </c>
      <c r="K2" s="6">
        <v>0</v>
      </c>
      <c r="L2" s="1">
        <v>0</v>
      </c>
      <c r="M2" s="1">
        <f>(2080/12)*L2</f>
        <v>0</v>
      </c>
      <c r="N2" s="62">
        <f>IFERROR(K2/M2,0)</f>
        <v>0</v>
      </c>
    </row>
    <row r="3" spans="1:14" x14ac:dyDescent="0.25">
      <c r="A3" t="s">
        <v>554</v>
      </c>
      <c r="B3" t="s">
        <v>33</v>
      </c>
      <c r="C3" t="s">
        <v>557</v>
      </c>
      <c r="D3" t="str">
        <f>VLOOKUP(C3,'Staffing Cohorts'!F:H,3,FALSE)</f>
        <v>SUPV / MGR</v>
      </c>
      <c r="E3">
        <v>0.01</v>
      </c>
      <c r="J3" t="s">
        <v>558</v>
      </c>
      <c r="K3" s="6">
        <v>0</v>
      </c>
      <c r="L3" s="1">
        <v>0</v>
      </c>
      <c r="M3" s="1">
        <f t="shared" ref="M3:M66" si="0">(2080/12)*L3</f>
        <v>0</v>
      </c>
      <c r="N3" s="62">
        <f t="shared" ref="N3:N66" si="1">IFERROR(K3/M3,0)</f>
        <v>0</v>
      </c>
    </row>
    <row r="4" spans="1:14" x14ac:dyDescent="0.25">
      <c r="A4" t="s">
        <v>554</v>
      </c>
      <c r="B4" t="s">
        <v>33</v>
      </c>
      <c r="C4" t="s">
        <v>559</v>
      </c>
      <c r="D4" t="str">
        <f>VLOOKUP(C4,'Staffing Cohorts'!F:H,3,FALSE)</f>
        <v>SUPV / MGR</v>
      </c>
      <c r="E4">
        <v>1.04</v>
      </c>
      <c r="J4" t="s">
        <v>560</v>
      </c>
      <c r="K4" s="6">
        <v>0</v>
      </c>
      <c r="L4" s="1">
        <v>0</v>
      </c>
      <c r="M4" s="1">
        <f t="shared" si="0"/>
        <v>0</v>
      </c>
      <c r="N4" s="62">
        <f t="shared" si="1"/>
        <v>0</v>
      </c>
    </row>
    <row r="5" spans="1:14" x14ac:dyDescent="0.25">
      <c r="A5" t="s">
        <v>554</v>
      </c>
      <c r="B5" t="s">
        <v>33</v>
      </c>
      <c r="C5" t="s">
        <v>561</v>
      </c>
      <c r="D5" t="str">
        <f>VLOOKUP(C5,'Staffing Cohorts'!F:H,3,FALSE)</f>
        <v>RN</v>
      </c>
      <c r="E5">
        <v>1.01</v>
      </c>
      <c r="J5" t="s">
        <v>562</v>
      </c>
      <c r="K5" s="6">
        <v>76300</v>
      </c>
      <c r="L5" s="1">
        <v>3.12</v>
      </c>
      <c r="M5" s="1">
        <f t="shared" si="0"/>
        <v>540.80000000000007</v>
      </c>
      <c r="N5" s="62">
        <f>IFERROR(K5/M5,0)</f>
        <v>141.08727810650885</v>
      </c>
    </row>
    <row r="6" spans="1:14" x14ac:dyDescent="0.25">
      <c r="A6" t="s">
        <v>554</v>
      </c>
      <c r="B6" t="s">
        <v>33</v>
      </c>
      <c r="C6" t="s">
        <v>563</v>
      </c>
      <c r="D6" t="str">
        <f>VLOOKUP(C6,'Staffing Cohorts'!F:H,3,FALSE)</f>
        <v>DI</v>
      </c>
      <c r="E6">
        <v>0.5</v>
      </c>
      <c r="J6" t="s">
        <v>564</v>
      </c>
      <c r="K6" s="6">
        <v>2115696</v>
      </c>
      <c r="L6" s="1">
        <v>98.590000000000089</v>
      </c>
      <c r="M6" s="1">
        <f t="shared" si="0"/>
        <v>17088.933333333349</v>
      </c>
      <c r="N6" s="62">
        <f t="shared" si="1"/>
        <v>123.80503561759257</v>
      </c>
    </row>
    <row r="7" spans="1:14" x14ac:dyDescent="0.25">
      <c r="A7" t="s">
        <v>554</v>
      </c>
      <c r="B7" t="s">
        <v>33</v>
      </c>
      <c r="C7" t="s">
        <v>565</v>
      </c>
      <c r="D7" t="str">
        <f>VLOOKUP(C7,'Staffing Cohorts'!F:H,3,FALSE)</f>
        <v>MA</v>
      </c>
      <c r="E7">
        <v>9.9999999999999992E-2</v>
      </c>
      <c r="J7" t="s">
        <v>566</v>
      </c>
      <c r="K7" s="6">
        <v>15632</v>
      </c>
      <c r="L7" s="1">
        <v>1.24</v>
      </c>
      <c r="M7" s="1">
        <f t="shared" si="0"/>
        <v>214.93333333333334</v>
      </c>
      <c r="N7" s="62">
        <f t="shared" si="1"/>
        <v>72.729528535980151</v>
      </c>
    </row>
    <row r="8" spans="1:14" x14ac:dyDescent="0.25">
      <c r="A8" t="s">
        <v>554</v>
      </c>
      <c r="B8" t="s">
        <v>33</v>
      </c>
      <c r="C8" t="s">
        <v>567</v>
      </c>
      <c r="D8" t="str">
        <f>VLOOKUP(C8,'Staffing Cohorts'!F:H,3,FALSE)</f>
        <v>MA</v>
      </c>
      <c r="E8">
        <v>1.78</v>
      </c>
      <c r="J8" t="s">
        <v>568</v>
      </c>
      <c r="K8" s="6">
        <v>0</v>
      </c>
      <c r="L8" s="1">
        <v>0</v>
      </c>
      <c r="M8" s="1">
        <f t="shared" si="0"/>
        <v>0</v>
      </c>
      <c r="N8" s="62">
        <f t="shared" si="1"/>
        <v>0</v>
      </c>
    </row>
    <row r="9" spans="1:14" x14ac:dyDescent="0.25">
      <c r="A9" t="s">
        <v>554</v>
      </c>
      <c r="B9" t="s">
        <v>33</v>
      </c>
      <c r="C9" t="s">
        <v>569</v>
      </c>
      <c r="D9" t="str">
        <f>VLOOKUP(C9,'Staffing Cohorts'!F:H,3,FALSE)</f>
        <v>RN</v>
      </c>
      <c r="E9">
        <v>2.69</v>
      </c>
      <c r="J9" t="s">
        <v>570</v>
      </c>
      <c r="K9" s="6">
        <v>14792</v>
      </c>
      <c r="L9" s="1">
        <v>2</v>
      </c>
      <c r="M9" s="1">
        <f t="shared" si="0"/>
        <v>346.66666666666669</v>
      </c>
      <c r="N9" s="62">
        <f t="shared" si="1"/>
        <v>42.669230769230765</v>
      </c>
    </row>
    <row r="10" spans="1:14" x14ac:dyDescent="0.25">
      <c r="A10" t="s">
        <v>554</v>
      </c>
      <c r="B10" t="s">
        <v>33</v>
      </c>
      <c r="C10" t="s">
        <v>571</v>
      </c>
      <c r="D10" t="str">
        <f>VLOOKUP(C10,'Staffing Cohorts'!F:H,3,FALSE)</f>
        <v>RN</v>
      </c>
      <c r="E10">
        <v>0.9</v>
      </c>
      <c r="J10" t="s">
        <v>555</v>
      </c>
      <c r="K10" s="6">
        <v>187411</v>
      </c>
      <c r="L10" s="1">
        <v>32.03</v>
      </c>
      <c r="M10" s="1">
        <f t="shared" si="0"/>
        <v>5551.8666666666668</v>
      </c>
      <c r="N10" s="62">
        <f t="shared" si="1"/>
        <v>33.756394245779198</v>
      </c>
    </row>
    <row r="11" spans="1:14" x14ac:dyDescent="0.25">
      <c r="A11" t="s">
        <v>554</v>
      </c>
      <c r="B11" t="s">
        <v>33</v>
      </c>
      <c r="C11" t="s">
        <v>572</v>
      </c>
      <c r="D11" t="str">
        <f>VLOOKUP(C11,'Staffing Cohorts'!F:H,3,FALSE)</f>
        <v>RN</v>
      </c>
      <c r="E11">
        <v>1.01</v>
      </c>
      <c r="J11" t="s">
        <v>573</v>
      </c>
      <c r="K11" s="6">
        <v>15422</v>
      </c>
      <c r="L11" s="1">
        <v>3.02</v>
      </c>
      <c r="M11" s="1">
        <f t="shared" si="0"/>
        <v>523.4666666666667</v>
      </c>
      <c r="N11" s="62">
        <f t="shared" si="1"/>
        <v>29.461283749363218</v>
      </c>
    </row>
    <row r="12" spans="1:14" x14ac:dyDescent="0.25">
      <c r="A12" t="s">
        <v>554</v>
      </c>
      <c r="B12" t="s">
        <v>33</v>
      </c>
      <c r="C12" t="s">
        <v>574</v>
      </c>
      <c r="D12" t="str">
        <f>VLOOKUP(C12,'Staffing Cohorts'!F:H,3,FALSE)</f>
        <v>MOSC</v>
      </c>
      <c r="E12">
        <v>0.2</v>
      </c>
      <c r="J12" t="s">
        <v>575</v>
      </c>
      <c r="K12" s="6">
        <v>15836</v>
      </c>
      <c r="L12" s="1">
        <v>2.91</v>
      </c>
      <c r="M12" s="1">
        <f t="shared" si="0"/>
        <v>504.40000000000003</v>
      </c>
      <c r="N12" s="62">
        <f t="shared" si="1"/>
        <v>31.395717684377477</v>
      </c>
    </row>
    <row r="13" spans="1:14" x14ac:dyDescent="0.25">
      <c r="A13" t="s">
        <v>554</v>
      </c>
      <c r="B13" t="s">
        <v>33</v>
      </c>
      <c r="C13" t="s">
        <v>576</v>
      </c>
      <c r="D13" t="str">
        <f>VLOOKUP(C13,'Staffing Cohorts'!F:H,3,FALSE)</f>
        <v>MOSC</v>
      </c>
      <c r="E13">
        <v>1.45</v>
      </c>
      <c r="J13" t="s">
        <v>577</v>
      </c>
      <c r="K13" s="6">
        <v>30001</v>
      </c>
      <c r="L13" s="1">
        <v>6.01</v>
      </c>
      <c r="M13" s="1">
        <f t="shared" si="0"/>
        <v>1041.7333333333333</v>
      </c>
      <c r="N13" s="62">
        <f t="shared" si="1"/>
        <v>28.799116856521181</v>
      </c>
    </row>
    <row r="14" spans="1:14" x14ac:dyDescent="0.25">
      <c r="A14" t="s">
        <v>554</v>
      </c>
      <c r="B14" t="s">
        <v>33</v>
      </c>
      <c r="C14" t="s">
        <v>578</v>
      </c>
      <c r="D14" t="str">
        <f>VLOOKUP(C14,'Staffing Cohorts'!F:H,3,FALSE)</f>
        <v>MOSC</v>
      </c>
      <c r="E14">
        <v>2.38</v>
      </c>
      <c r="J14" t="s">
        <v>579</v>
      </c>
      <c r="K14" s="6">
        <v>0</v>
      </c>
      <c r="L14" s="1">
        <v>0</v>
      </c>
      <c r="M14" s="1">
        <f t="shared" si="0"/>
        <v>0</v>
      </c>
      <c r="N14" s="62">
        <f t="shared" si="1"/>
        <v>0</v>
      </c>
    </row>
    <row r="15" spans="1:14" x14ac:dyDescent="0.25">
      <c r="A15" t="s">
        <v>554</v>
      </c>
      <c r="B15" t="s">
        <v>33</v>
      </c>
      <c r="C15" t="s">
        <v>330</v>
      </c>
      <c r="D15" t="str">
        <f>VLOOKUP(C15,'Staffing Cohorts'!F:H,3,FALSE)</f>
        <v>Other</v>
      </c>
      <c r="E15">
        <v>0.05</v>
      </c>
      <c r="J15" t="s">
        <v>580</v>
      </c>
      <c r="K15" s="6">
        <v>0</v>
      </c>
      <c r="L15" s="1">
        <v>0</v>
      </c>
      <c r="M15" s="1">
        <f t="shared" si="0"/>
        <v>0</v>
      </c>
      <c r="N15" s="62">
        <f t="shared" si="1"/>
        <v>0</v>
      </c>
    </row>
    <row r="16" spans="1:14" x14ac:dyDescent="0.25">
      <c r="A16" t="s">
        <v>581</v>
      </c>
      <c r="B16" t="s">
        <v>539</v>
      </c>
      <c r="C16" t="s">
        <v>322</v>
      </c>
      <c r="D16" t="str">
        <f>VLOOKUP(C16,'Staffing Cohorts'!F:H,3,FALSE)</f>
        <v>Other</v>
      </c>
      <c r="E16">
        <v>0.5</v>
      </c>
      <c r="J16" t="s">
        <v>582</v>
      </c>
      <c r="K16" s="6">
        <v>15040</v>
      </c>
      <c r="L16" s="1">
        <v>2</v>
      </c>
      <c r="M16" s="1">
        <f t="shared" si="0"/>
        <v>346.66666666666669</v>
      </c>
      <c r="N16" s="62">
        <f t="shared" si="1"/>
        <v>43.38461538461538</v>
      </c>
    </row>
    <row r="17" spans="1:14" x14ac:dyDescent="0.25">
      <c r="A17" t="s">
        <v>583</v>
      </c>
      <c r="B17" t="s">
        <v>539</v>
      </c>
      <c r="C17" t="s">
        <v>559</v>
      </c>
      <c r="D17" t="str">
        <f>VLOOKUP(C17,'Staffing Cohorts'!F:H,3,FALSE)</f>
        <v>SUPV / MGR</v>
      </c>
      <c r="E17">
        <v>0.26</v>
      </c>
      <c r="J17" t="s">
        <v>584</v>
      </c>
      <c r="K17" s="6">
        <v>752</v>
      </c>
      <c r="L17" s="1">
        <v>0.12</v>
      </c>
      <c r="M17" s="1">
        <f t="shared" si="0"/>
        <v>20.8</v>
      </c>
      <c r="N17" s="62">
        <f t="shared" si="1"/>
        <v>36.153846153846153</v>
      </c>
    </row>
    <row r="18" spans="1:14" x14ac:dyDescent="0.25">
      <c r="A18" t="s">
        <v>585</v>
      </c>
      <c r="B18" t="s">
        <v>539</v>
      </c>
      <c r="C18" t="s">
        <v>586</v>
      </c>
      <c r="D18" t="str">
        <f>VLOOKUP(C18,'Staffing Cohorts'!F:H,3,FALSE)</f>
        <v>Lab</v>
      </c>
      <c r="E18">
        <v>0.87</v>
      </c>
      <c r="J18" t="s">
        <v>587</v>
      </c>
      <c r="K18" s="6">
        <v>62768</v>
      </c>
      <c r="L18" s="1">
        <v>9.1600000000000019</v>
      </c>
      <c r="M18" s="1">
        <f t="shared" si="0"/>
        <v>1587.7333333333338</v>
      </c>
      <c r="N18" s="62">
        <f t="shared" si="1"/>
        <v>39.533087000335897</v>
      </c>
    </row>
    <row r="19" spans="1:14" x14ac:dyDescent="0.25">
      <c r="A19" t="s">
        <v>588</v>
      </c>
      <c r="B19" t="s">
        <v>539</v>
      </c>
      <c r="C19" t="s">
        <v>589</v>
      </c>
      <c r="D19" t="str">
        <f>VLOOKUP(C19,'Staffing Cohorts'!F:H,3,FALSE)</f>
        <v>MA</v>
      </c>
      <c r="E19">
        <v>0.09</v>
      </c>
      <c r="J19" t="s">
        <v>590</v>
      </c>
      <c r="K19" s="6">
        <v>0</v>
      </c>
      <c r="L19" s="1">
        <v>0</v>
      </c>
      <c r="M19" s="1">
        <f t="shared" si="0"/>
        <v>0</v>
      </c>
      <c r="N19" s="62">
        <f t="shared" si="1"/>
        <v>0</v>
      </c>
    </row>
    <row r="20" spans="1:14" x14ac:dyDescent="0.25">
      <c r="A20" t="s">
        <v>591</v>
      </c>
      <c r="B20" t="s">
        <v>539</v>
      </c>
      <c r="C20" t="s">
        <v>592</v>
      </c>
      <c r="D20" t="str">
        <f>VLOOKUP(C20,'Staffing Cohorts'!F:H,3,FALSE)</f>
        <v>RN</v>
      </c>
      <c r="E20">
        <v>0.01</v>
      </c>
      <c r="J20" t="s">
        <v>593</v>
      </c>
      <c r="K20" s="6">
        <v>3834</v>
      </c>
      <c r="L20" s="1">
        <v>0.09</v>
      </c>
      <c r="M20" s="1">
        <f t="shared" si="0"/>
        <v>15.6</v>
      </c>
      <c r="N20" s="62">
        <f t="shared" si="1"/>
        <v>245.76923076923077</v>
      </c>
    </row>
    <row r="21" spans="1:14" x14ac:dyDescent="0.25">
      <c r="A21" t="s">
        <v>594</v>
      </c>
      <c r="B21" t="s">
        <v>539</v>
      </c>
      <c r="C21" t="s">
        <v>569</v>
      </c>
      <c r="D21" t="str">
        <f>VLOOKUP(C21,'Staffing Cohorts'!F:H,3,FALSE)</f>
        <v>RN</v>
      </c>
      <c r="E21">
        <v>0.94</v>
      </c>
      <c r="J21" t="s">
        <v>595</v>
      </c>
      <c r="K21" s="6">
        <v>0</v>
      </c>
      <c r="L21" s="1">
        <v>0</v>
      </c>
      <c r="M21" s="1">
        <f t="shared" si="0"/>
        <v>0</v>
      </c>
      <c r="N21" s="62">
        <f t="shared" si="1"/>
        <v>0</v>
      </c>
    </row>
    <row r="22" spans="1:14" x14ac:dyDescent="0.25">
      <c r="A22" t="s">
        <v>596</v>
      </c>
      <c r="B22" t="s">
        <v>539</v>
      </c>
      <c r="C22" t="s">
        <v>571</v>
      </c>
      <c r="D22" t="str">
        <f>VLOOKUP(C22,'Staffing Cohorts'!F:H,3,FALSE)</f>
        <v>RN</v>
      </c>
      <c r="E22">
        <v>2.16</v>
      </c>
      <c r="J22" t="s">
        <v>597</v>
      </c>
      <c r="K22" s="6">
        <v>18190</v>
      </c>
      <c r="L22" s="1">
        <v>2.42</v>
      </c>
      <c r="M22" s="1">
        <f t="shared" si="0"/>
        <v>419.4666666666667</v>
      </c>
      <c r="N22" s="62">
        <f t="shared" si="1"/>
        <v>43.364589955499042</v>
      </c>
    </row>
    <row r="23" spans="1:14" x14ac:dyDescent="0.25">
      <c r="A23" t="s">
        <v>598</v>
      </c>
      <c r="B23" t="s">
        <v>539</v>
      </c>
      <c r="C23" t="s">
        <v>578</v>
      </c>
      <c r="D23" t="str">
        <f>VLOOKUP(C23,'Staffing Cohorts'!F:H,3,FALSE)</f>
        <v>MOSC</v>
      </c>
      <c r="E23">
        <v>1.01</v>
      </c>
      <c r="J23" t="s">
        <v>599</v>
      </c>
      <c r="K23" s="6">
        <v>276550</v>
      </c>
      <c r="L23" s="1">
        <v>43.58</v>
      </c>
      <c r="M23" s="1">
        <f t="shared" si="0"/>
        <v>7553.8666666666668</v>
      </c>
      <c r="N23" s="62">
        <f t="shared" si="1"/>
        <v>36.610389381155784</v>
      </c>
    </row>
    <row r="24" spans="1:14" x14ac:dyDescent="0.25">
      <c r="A24" t="s">
        <v>600</v>
      </c>
      <c r="B24" t="s">
        <v>539</v>
      </c>
      <c r="C24" t="s">
        <v>326</v>
      </c>
      <c r="D24" t="str">
        <f>VLOOKUP(C24,'Staffing Cohorts'!F:H,3,FALSE)</f>
        <v>Other</v>
      </c>
      <c r="E24">
        <v>0.3</v>
      </c>
      <c r="J24" t="s">
        <v>601</v>
      </c>
      <c r="K24" s="6">
        <v>0</v>
      </c>
      <c r="L24" s="1">
        <v>0</v>
      </c>
      <c r="M24" s="1">
        <f t="shared" si="0"/>
        <v>0</v>
      </c>
      <c r="N24" s="62">
        <f t="shared" si="1"/>
        <v>0</v>
      </c>
    </row>
    <row r="25" spans="1:14" x14ac:dyDescent="0.25">
      <c r="A25" t="s">
        <v>602</v>
      </c>
      <c r="B25" t="s">
        <v>328</v>
      </c>
      <c r="C25" t="s">
        <v>555</v>
      </c>
      <c r="D25" t="str">
        <f>VLOOKUP(C25,'Staffing Cohorts'!F:H,3,FALSE)</f>
        <v>SUPV / MGR</v>
      </c>
      <c r="E25">
        <v>0.1</v>
      </c>
      <c r="J25" t="s">
        <v>603</v>
      </c>
      <c r="K25" s="6">
        <v>0</v>
      </c>
      <c r="L25" s="1">
        <v>0</v>
      </c>
      <c r="M25" s="1">
        <f t="shared" si="0"/>
        <v>0</v>
      </c>
      <c r="N25" s="62">
        <f t="shared" si="1"/>
        <v>0</v>
      </c>
    </row>
    <row r="26" spans="1:14" x14ac:dyDescent="0.25">
      <c r="A26" t="s">
        <v>604</v>
      </c>
      <c r="B26" t="s">
        <v>328</v>
      </c>
      <c r="C26" t="s">
        <v>559</v>
      </c>
      <c r="D26" t="str">
        <f>VLOOKUP(C26,'Staffing Cohorts'!F:H,3,FALSE)</f>
        <v>SUPV / MGR</v>
      </c>
      <c r="E26">
        <v>0.1</v>
      </c>
      <c r="J26" t="s">
        <v>605</v>
      </c>
      <c r="K26" s="6">
        <v>13943</v>
      </c>
      <c r="L26" s="1">
        <v>2.7299999999999995</v>
      </c>
      <c r="M26" s="1">
        <f t="shared" si="0"/>
        <v>473.19999999999993</v>
      </c>
      <c r="N26" s="62">
        <f t="shared" si="1"/>
        <v>29.465342349957737</v>
      </c>
    </row>
    <row r="27" spans="1:14" x14ac:dyDescent="0.25">
      <c r="A27" t="s">
        <v>606</v>
      </c>
      <c r="B27" t="s">
        <v>328</v>
      </c>
      <c r="C27" t="s">
        <v>607</v>
      </c>
      <c r="D27" t="str">
        <f>VLOOKUP(C27,'Staffing Cohorts'!F:H,3,FALSE)</f>
        <v>SUPV / MGR</v>
      </c>
      <c r="E27">
        <v>1.04</v>
      </c>
      <c r="J27" t="s">
        <v>608</v>
      </c>
      <c r="K27" s="6">
        <v>9940</v>
      </c>
      <c r="L27" s="1">
        <v>2.5</v>
      </c>
      <c r="M27" s="1">
        <f t="shared" si="0"/>
        <v>433.33333333333337</v>
      </c>
      <c r="N27" s="62">
        <f t="shared" si="1"/>
        <v>22.938461538461535</v>
      </c>
    </row>
    <row r="28" spans="1:14" x14ac:dyDescent="0.25">
      <c r="A28" t="s">
        <v>609</v>
      </c>
      <c r="B28" t="s">
        <v>328</v>
      </c>
      <c r="C28" t="s">
        <v>610</v>
      </c>
      <c r="D28" t="str">
        <f>VLOOKUP(C28,'Staffing Cohorts'!F:H,3,FALSE)</f>
        <v>MA</v>
      </c>
      <c r="E28">
        <v>0.85</v>
      </c>
      <c r="J28" t="s">
        <v>611</v>
      </c>
      <c r="K28" s="6">
        <v>0</v>
      </c>
      <c r="L28" s="1">
        <v>0</v>
      </c>
      <c r="M28" s="1">
        <f t="shared" si="0"/>
        <v>0</v>
      </c>
      <c r="N28" s="62">
        <f t="shared" si="1"/>
        <v>0</v>
      </c>
    </row>
    <row r="29" spans="1:14" x14ac:dyDescent="0.25">
      <c r="A29" t="s">
        <v>612</v>
      </c>
      <c r="B29" t="s">
        <v>328</v>
      </c>
      <c r="C29" t="s">
        <v>592</v>
      </c>
      <c r="D29" t="str">
        <f>VLOOKUP(C29,'Staffing Cohorts'!F:H,3,FALSE)</f>
        <v>RN</v>
      </c>
      <c r="E29">
        <v>0.03</v>
      </c>
      <c r="J29" t="s">
        <v>613</v>
      </c>
      <c r="K29" s="6">
        <v>6457</v>
      </c>
      <c r="L29" s="1">
        <v>1</v>
      </c>
      <c r="M29" s="1">
        <f t="shared" si="0"/>
        <v>173.33333333333334</v>
      </c>
      <c r="N29" s="62">
        <f t="shared" si="1"/>
        <v>37.251923076923077</v>
      </c>
    </row>
    <row r="30" spans="1:14" x14ac:dyDescent="0.25">
      <c r="A30" t="s">
        <v>614</v>
      </c>
      <c r="B30" t="s">
        <v>328</v>
      </c>
      <c r="C30" t="s">
        <v>571</v>
      </c>
      <c r="D30" t="str">
        <f>VLOOKUP(C30,'Staffing Cohorts'!F:H,3,FALSE)</f>
        <v>RN</v>
      </c>
      <c r="E30">
        <v>2</v>
      </c>
      <c r="J30" t="s">
        <v>323</v>
      </c>
      <c r="K30" s="6">
        <v>3144</v>
      </c>
      <c r="L30" s="1">
        <v>0.39</v>
      </c>
      <c r="M30" s="1">
        <f t="shared" si="0"/>
        <v>67.600000000000009</v>
      </c>
      <c r="N30" s="62">
        <f t="shared" si="1"/>
        <v>46.508875739644964</v>
      </c>
    </row>
    <row r="31" spans="1:14" x14ac:dyDescent="0.25">
      <c r="A31" t="s">
        <v>615</v>
      </c>
      <c r="B31" t="s">
        <v>328</v>
      </c>
      <c r="C31" t="s">
        <v>330</v>
      </c>
      <c r="D31" t="str">
        <f>VLOOKUP(C31,'Staffing Cohorts'!F:H,3,FALSE)</f>
        <v>Other</v>
      </c>
      <c r="E31">
        <v>7.0000000000000007E-2</v>
      </c>
      <c r="J31" t="s">
        <v>324</v>
      </c>
      <c r="K31" s="6">
        <v>32429</v>
      </c>
      <c r="L31" s="1">
        <v>3.63</v>
      </c>
      <c r="M31" s="1">
        <f t="shared" si="0"/>
        <v>629.20000000000005</v>
      </c>
      <c r="N31" s="62">
        <f t="shared" si="1"/>
        <v>51.540050858232675</v>
      </c>
    </row>
    <row r="32" spans="1:14" x14ac:dyDescent="0.25">
      <c r="A32" t="s">
        <v>616</v>
      </c>
      <c r="B32" t="s">
        <v>338</v>
      </c>
      <c r="C32" t="s">
        <v>555</v>
      </c>
      <c r="D32" t="str">
        <f>VLOOKUP(C32,'Staffing Cohorts'!F:H,3,FALSE)</f>
        <v>SUPV / MGR</v>
      </c>
      <c r="E32">
        <v>0.13</v>
      </c>
      <c r="J32" t="s">
        <v>322</v>
      </c>
      <c r="K32" s="6">
        <v>54329</v>
      </c>
      <c r="L32" s="1">
        <v>6.9499999999999975</v>
      </c>
      <c r="M32" s="1">
        <f t="shared" si="0"/>
        <v>1204.6666666666663</v>
      </c>
      <c r="N32" s="62">
        <f t="shared" si="1"/>
        <v>45.098782512451592</v>
      </c>
    </row>
    <row r="33" spans="1:14" x14ac:dyDescent="0.25">
      <c r="A33" t="s">
        <v>617</v>
      </c>
      <c r="B33" t="s">
        <v>338</v>
      </c>
      <c r="C33" t="s">
        <v>557</v>
      </c>
      <c r="D33" t="str">
        <f>VLOOKUP(C33,'Staffing Cohorts'!F:H,3,FALSE)</f>
        <v>SUPV / MGR</v>
      </c>
      <c r="E33">
        <v>0.02</v>
      </c>
      <c r="J33" t="s">
        <v>618</v>
      </c>
      <c r="K33" s="6">
        <v>7068</v>
      </c>
      <c r="L33" s="1">
        <v>2</v>
      </c>
      <c r="M33" s="1">
        <f t="shared" si="0"/>
        <v>346.66666666666669</v>
      </c>
      <c r="N33" s="62">
        <f t="shared" si="1"/>
        <v>20.388461538461538</v>
      </c>
    </row>
    <row r="34" spans="1:14" x14ac:dyDescent="0.25">
      <c r="A34" t="s">
        <v>619</v>
      </c>
      <c r="B34" t="s">
        <v>338</v>
      </c>
      <c r="C34" t="s">
        <v>559</v>
      </c>
      <c r="D34" t="str">
        <f>VLOOKUP(C34,'Staffing Cohorts'!F:H,3,FALSE)</f>
        <v>SUPV / MGR</v>
      </c>
      <c r="E34">
        <v>0.52</v>
      </c>
      <c r="J34" t="s">
        <v>620</v>
      </c>
      <c r="K34" s="6">
        <v>10867</v>
      </c>
      <c r="L34" s="1">
        <v>1.04</v>
      </c>
      <c r="M34" s="1">
        <f t="shared" si="0"/>
        <v>180.26666666666668</v>
      </c>
      <c r="N34" s="62">
        <f t="shared" si="1"/>
        <v>60.282914201183431</v>
      </c>
    </row>
    <row r="35" spans="1:14" x14ac:dyDescent="0.25">
      <c r="A35" t="s">
        <v>621</v>
      </c>
      <c r="B35" t="s">
        <v>338</v>
      </c>
      <c r="C35" t="s">
        <v>607</v>
      </c>
      <c r="D35" t="str">
        <f>VLOOKUP(C35,'Staffing Cohorts'!F:H,3,FALSE)</f>
        <v>SUPV / MGR</v>
      </c>
      <c r="E35">
        <v>1.04</v>
      </c>
      <c r="J35" t="s">
        <v>557</v>
      </c>
      <c r="K35" s="6">
        <v>9229</v>
      </c>
      <c r="L35" s="1">
        <v>0.84000000000000019</v>
      </c>
      <c r="M35" s="1">
        <f t="shared" si="0"/>
        <v>145.60000000000005</v>
      </c>
      <c r="N35" s="62">
        <f t="shared" si="1"/>
        <v>63.385989010988986</v>
      </c>
    </row>
    <row r="36" spans="1:14" x14ac:dyDescent="0.25">
      <c r="A36" t="s">
        <v>622</v>
      </c>
      <c r="B36" t="s">
        <v>338</v>
      </c>
      <c r="C36" t="s">
        <v>565</v>
      </c>
      <c r="D36" t="str">
        <f>VLOOKUP(C36,'Staffing Cohorts'!F:H,3,FALSE)</f>
        <v>MA</v>
      </c>
      <c r="E36">
        <v>0.26</v>
      </c>
      <c r="J36" t="s">
        <v>623</v>
      </c>
      <c r="K36" s="6">
        <v>10020</v>
      </c>
      <c r="L36" s="1">
        <v>1.04</v>
      </c>
      <c r="M36" s="1">
        <f t="shared" si="0"/>
        <v>180.26666666666668</v>
      </c>
      <c r="N36" s="62">
        <f t="shared" si="1"/>
        <v>55.584319526627212</v>
      </c>
    </row>
    <row r="37" spans="1:14" x14ac:dyDescent="0.25">
      <c r="A37" t="s">
        <v>624</v>
      </c>
      <c r="B37" t="s">
        <v>338</v>
      </c>
      <c r="C37" t="s">
        <v>567</v>
      </c>
      <c r="D37" t="str">
        <f>VLOOKUP(C37,'Staffing Cohorts'!F:H,3,FALSE)</f>
        <v>MA</v>
      </c>
      <c r="E37">
        <v>2.0700000000000003</v>
      </c>
      <c r="J37" t="s">
        <v>625</v>
      </c>
      <c r="K37" s="6">
        <v>7266</v>
      </c>
      <c r="L37" s="1">
        <v>1</v>
      </c>
      <c r="M37" s="1">
        <f t="shared" si="0"/>
        <v>173.33333333333334</v>
      </c>
      <c r="N37" s="62">
        <f t="shared" si="1"/>
        <v>41.919230769230765</v>
      </c>
    </row>
    <row r="38" spans="1:14" x14ac:dyDescent="0.25">
      <c r="A38" t="s">
        <v>626</v>
      </c>
      <c r="B38" t="s">
        <v>338</v>
      </c>
      <c r="C38" t="s">
        <v>569</v>
      </c>
      <c r="D38" t="str">
        <f>VLOOKUP(C38,'Staffing Cohorts'!F:H,3,FALSE)</f>
        <v>RN</v>
      </c>
      <c r="E38">
        <v>0.6</v>
      </c>
      <c r="J38" t="s">
        <v>627</v>
      </c>
      <c r="K38" s="6">
        <v>21520</v>
      </c>
      <c r="L38" s="1">
        <v>0.99</v>
      </c>
      <c r="M38" s="1">
        <f t="shared" si="0"/>
        <v>171.6</v>
      </c>
      <c r="N38" s="62">
        <f t="shared" si="1"/>
        <v>125.40792540792542</v>
      </c>
    </row>
    <row r="39" spans="1:14" x14ac:dyDescent="0.25">
      <c r="A39" t="s">
        <v>628</v>
      </c>
      <c r="B39" t="s">
        <v>338</v>
      </c>
      <c r="C39" t="s">
        <v>571</v>
      </c>
      <c r="D39" t="str">
        <f>VLOOKUP(C39,'Staffing Cohorts'!F:H,3,FALSE)</f>
        <v>RN</v>
      </c>
      <c r="E39">
        <v>6.2299999999999995</v>
      </c>
      <c r="J39" t="s">
        <v>629</v>
      </c>
      <c r="K39" s="6">
        <v>31741</v>
      </c>
      <c r="L39" s="1">
        <v>2.08</v>
      </c>
      <c r="M39" s="1">
        <f t="shared" si="0"/>
        <v>360.53333333333336</v>
      </c>
      <c r="N39" s="62">
        <f t="shared" si="1"/>
        <v>88.039016272189343</v>
      </c>
    </row>
    <row r="40" spans="1:14" x14ac:dyDescent="0.25">
      <c r="A40" t="s">
        <v>630</v>
      </c>
      <c r="B40" t="s">
        <v>338</v>
      </c>
      <c r="C40" t="s">
        <v>572</v>
      </c>
      <c r="D40" t="str">
        <f>VLOOKUP(C40,'Staffing Cohorts'!F:H,3,FALSE)</f>
        <v>RN</v>
      </c>
      <c r="E40">
        <v>1.01</v>
      </c>
      <c r="J40" t="s">
        <v>631</v>
      </c>
      <c r="K40" s="6">
        <v>14762</v>
      </c>
      <c r="L40" s="1">
        <v>1.04</v>
      </c>
      <c r="M40" s="1">
        <f t="shared" si="0"/>
        <v>180.26666666666668</v>
      </c>
      <c r="N40" s="62">
        <f t="shared" si="1"/>
        <v>81.889792899408278</v>
      </c>
    </row>
    <row r="41" spans="1:14" x14ac:dyDescent="0.25">
      <c r="A41" t="s">
        <v>632</v>
      </c>
      <c r="B41" t="s">
        <v>338</v>
      </c>
      <c r="C41" t="s">
        <v>574</v>
      </c>
      <c r="D41" t="str">
        <f>VLOOKUP(C41,'Staffing Cohorts'!F:H,3,FALSE)</f>
        <v>MOSC</v>
      </c>
      <c r="E41">
        <v>1.05</v>
      </c>
      <c r="J41" t="s">
        <v>633</v>
      </c>
      <c r="K41" s="6">
        <v>218837</v>
      </c>
      <c r="L41" s="1">
        <v>23.11</v>
      </c>
      <c r="M41" s="1">
        <f t="shared" si="0"/>
        <v>4005.7333333333336</v>
      </c>
      <c r="N41" s="62">
        <f t="shared" si="1"/>
        <v>54.630945644576101</v>
      </c>
    </row>
    <row r="42" spans="1:14" x14ac:dyDescent="0.25">
      <c r="A42" t="s">
        <v>634</v>
      </c>
      <c r="B42" t="s">
        <v>338</v>
      </c>
      <c r="C42" t="s">
        <v>576</v>
      </c>
      <c r="D42" t="str">
        <f>VLOOKUP(C42,'Staffing Cohorts'!F:H,3,FALSE)</f>
        <v>MOSC</v>
      </c>
      <c r="E42">
        <v>3.04</v>
      </c>
      <c r="J42" t="s">
        <v>559</v>
      </c>
      <c r="K42" s="6">
        <v>180781</v>
      </c>
      <c r="L42" s="1">
        <v>13</v>
      </c>
      <c r="M42" s="1">
        <f t="shared" si="0"/>
        <v>2253.3333333333335</v>
      </c>
      <c r="N42" s="62">
        <f t="shared" si="1"/>
        <v>80.228254437869822</v>
      </c>
    </row>
    <row r="43" spans="1:14" x14ac:dyDescent="0.25">
      <c r="A43" t="s">
        <v>635</v>
      </c>
      <c r="B43" t="s">
        <v>338</v>
      </c>
      <c r="C43" t="s">
        <v>578</v>
      </c>
      <c r="D43" t="str">
        <f>VLOOKUP(C43,'Staffing Cohorts'!F:H,3,FALSE)</f>
        <v>MOSC</v>
      </c>
      <c r="E43">
        <v>5.91</v>
      </c>
      <c r="J43" t="s">
        <v>607</v>
      </c>
      <c r="K43" s="6">
        <v>72007</v>
      </c>
      <c r="L43" s="1">
        <v>5.1999999999999993</v>
      </c>
      <c r="M43" s="1">
        <f t="shared" si="0"/>
        <v>901.33333333333326</v>
      </c>
      <c r="N43" s="62">
        <f t="shared" si="1"/>
        <v>79.88942307692308</v>
      </c>
    </row>
    <row r="44" spans="1:14" x14ac:dyDescent="0.25">
      <c r="A44" t="s">
        <v>636</v>
      </c>
      <c r="B44" t="s">
        <v>338</v>
      </c>
      <c r="C44" t="s">
        <v>330</v>
      </c>
      <c r="D44" t="str">
        <f>VLOOKUP(C44,'Staffing Cohorts'!F:H,3,FALSE)</f>
        <v>Other</v>
      </c>
      <c r="E44">
        <v>0.05</v>
      </c>
      <c r="J44" t="s">
        <v>637</v>
      </c>
      <c r="K44" s="6">
        <v>9333</v>
      </c>
      <c r="L44" s="1">
        <v>0.81</v>
      </c>
      <c r="M44" s="1">
        <f t="shared" si="0"/>
        <v>140.4</v>
      </c>
      <c r="N44" s="62">
        <f t="shared" si="1"/>
        <v>66.474358974358978</v>
      </c>
    </row>
    <row r="45" spans="1:14" x14ac:dyDescent="0.25">
      <c r="A45" t="s">
        <v>638</v>
      </c>
      <c r="B45" t="s">
        <v>338</v>
      </c>
      <c r="C45" t="s">
        <v>327</v>
      </c>
      <c r="D45" t="str">
        <f>VLOOKUP(C45,'Staffing Cohorts'!F:H,3,FALSE)</f>
        <v>Other</v>
      </c>
      <c r="E45">
        <v>1</v>
      </c>
      <c r="J45" t="s">
        <v>639</v>
      </c>
      <c r="K45" s="6">
        <v>0</v>
      </c>
      <c r="L45" s="1">
        <v>0</v>
      </c>
      <c r="M45" s="1">
        <f t="shared" si="0"/>
        <v>0</v>
      </c>
      <c r="N45" s="62">
        <f t="shared" si="1"/>
        <v>0</v>
      </c>
    </row>
    <row r="46" spans="1:14" x14ac:dyDescent="0.25">
      <c r="A46" t="s">
        <v>640</v>
      </c>
      <c r="B46" t="s">
        <v>136</v>
      </c>
      <c r="C46" t="s">
        <v>555</v>
      </c>
      <c r="D46" t="str">
        <f>VLOOKUP(C46,'Staffing Cohorts'!F:H,3,FALSE)</f>
        <v>SUPV / MGR</v>
      </c>
      <c r="E46">
        <v>0.1</v>
      </c>
      <c r="J46" t="s">
        <v>641</v>
      </c>
      <c r="K46" s="6">
        <v>293</v>
      </c>
      <c r="L46" s="1">
        <v>0.02</v>
      </c>
      <c r="M46" s="1">
        <f t="shared" si="0"/>
        <v>3.4666666666666668</v>
      </c>
      <c r="N46" s="62">
        <f t="shared" si="1"/>
        <v>84.519230769230759</v>
      </c>
    </row>
    <row r="47" spans="1:14" x14ac:dyDescent="0.25">
      <c r="A47" t="s">
        <v>642</v>
      </c>
      <c r="B47" t="s">
        <v>136</v>
      </c>
      <c r="C47" t="s">
        <v>577</v>
      </c>
      <c r="D47" t="str">
        <f>VLOOKUP(C47,'Staffing Cohorts'!F:H,3,FALSE)</f>
        <v>SUPV / MGR</v>
      </c>
      <c r="E47">
        <v>0.1</v>
      </c>
      <c r="J47" t="s">
        <v>643</v>
      </c>
      <c r="K47" s="6">
        <v>9474</v>
      </c>
      <c r="L47" s="1">
        <v>1.02</v>
      </c>
      <c r="M47" s="1">
        <f t="shared" si="0"/>
        <v>176.8</v>
      </c>
      <c r="N47" s="62">
        <f t="shared" si="1"/>
        <v>53.585972850678729</v>
      </c>
    </row>
    <row r="48" spans="1:14" x14ac:dyDescent="0.25">
      <c r="A48" t="s">
        <v>644</v>
      </c>
      <c r="B48" t="s">
        <v>136</v>
      </c>
      <c r="C48" t="s">
        <v>633</v>
      </c>
      <c r="D48" t="str">
        <f>VLOOKUP(C48,'Staffing Cohorts'!F:H,3,FALSE)</f>
        <v>SUPV / MGR</v>
      </c>
      <c r="E48">
        <v>0.1</v>
      </c>
      <c r="J48" t="s">
        <v>645</v>
      </c>
      <c r="K48" s="6">
        <v>10092</v>
      </c>
      <c r="L48" s="1">
        <v>1</v>
      </c>
      <c r="M48" s="1">
        <f t="shared" si="0"/>
        <v>173.33333333333334</v>
      </c>
      <c r="N48" s="62">
        <f t="shared" si="1"/>
        <v>58.223076923076917</v>
      </c>
    </row>
    <row r="49" spans="1:14" x14ac:dyDescent="0.25">
      <c r="A49" t="s">
        <v>646</v>
      </c>
      <c r="B49" t="s">
        <v>136</v>
      </c>
      <c r="C49" t="s">
        <v>325</v>
      </c>
      <c r="D49" t="str">
        <f>VLOOKUP(C49,'Staffing Cohorts'!F:H,3,FALSE)</f>
        <v>Other</v>
      </c>
      <c r="E49">
        <v>0.1</v>
      </c>
      <c r="J49" t="s">
        <v>647</v>
      </c>
      <c r="K49" s="6">
        <v>20144</v>
      </c>
      <c r="L49" s="1">
        <v>2.08</v>
      </c>
      <c r="M49" s="1">
        <f t="shared" si="0"/>
        <v>360.53333333333336</v>
      </c>
      <c r="N49" s="62">
        <f t="shared" si="1"/>
        <v>55.872781065088752</v>
      </c>
    </row>
    <row r="50" spans="1:14" x14ac:dyDescent="0.25">
      <c r="A50" t="s">
        <v>648</v>
      </c>
      <c r="B50" t="s">
        <v>136</v>
      </c>
      <c r="C50" t="s">
        <v>576</v>
      </c>
      <c r="D50" t="str">
        <f>VLOOKUP(C50,'Staffing Cohorts'!F:H,3,FALSE)</f>
        <v>MOSC</v>
      </c>
      <c r="E50">
        <v>0.25</v>
      </c>
      <c r="J50" t="s">
        <v>649</v>
      </c>
      <c r="K50" s="6">
        <v>11843</v>
      </c>
      <c r="L50" s="1">
        <v>1.04</v>
      </c>
      <c r="M50" s="1">
        <f t="shared" si="0"/>
        <v>180.26666666666668</v>
      </c>
      <c r="N50" s="62">
        <f t="shared" si="1"/>
        <v>65.697115384615387</v>
      </c>
    </row>
    <row r="51" spans="1:14" x14ac:dyDescent="0.25">
      <c r="A51" t="s">
        <v>650</v>
      </c>
      <c r="B51" t="s">
        <v>136</v>
      </c>
      <c r="C51" t="s">
        <v>578</v>
      </c>
      <c r="D51" t="str">
        <f>VLOOKUP(C51,'Staffing Cohorts'!F:H,3,FALSE)</f>
        <v>MOSC</v>
      </c>
      <c r="E51">
        <v>0.31</v>
      </c>
      <c r="J51" t="s">
        <v>651</v>
      </c>
      <c r="K51" s="6">
        <v>17245</v>
      </c>
      <c r="L51" s="1">
        <v>1.99</v>
      </c>
      <c r="M51" s="1">
        <f t="shared" si="0"/>
        <v>344.93333333333334</v>
      </c>
      <c r="N51" s="62">
        <f t="shared" si="1"/>
        <v>49.99516814843448</v>
      </c>
    </row>
    <row r="52" spans="1:14" x14ac:dyDescent="0.25">
      <c r="A52" t="s">
        <v>652</v>
      </c>
      <c r="B52" t="s">
        <v>20</v>
      </c>
      <c r="C52" t="s">
        <v>566</v>
      </c>
      <c r="D52" t="str">
        <f>VLOOKUP(C52,'Staffing Cohorts'!F:H,3,FALSE)</f>
        <v>MA</v>
      </c>
      <c r="E52">
        <v>1.24</v>
      </c>
      <c r="J52" t="s">
        <v>653</v>
      </c>
      <c r="K52" s="6">
        <v>0</v>
      </c>
      <c r="L52" s="1">
        <v>0</v>
      </c>
      <c r="M52" s="1">
        <f t="shared" si="0"/>
        <v>0</v>
      </c>
      <c r="N52" s="62">
        <f t="shared" si="1"/>
        <v>0</v>
      </c>
    </row>
    <row r="53" spans="1:14" x14ac:dyDescent="0.25">
      <c r="A53" t="s">
        <v>654</v>
      </c>
      <c r="B53" t="s">
        <v>20</v>
      </c>
      <c r="C53" t="s">
        <v>605</v>
      </c>
      <c r="D53" t="str">
        <f>VLOOKUP(C53,'Staffing Cohorts'!F:H,3,FALSE)</f>
        <v>MA</v>
      </c>
      <c r="E53">
        <v>1</v>
      </c>
      <c r="J53" t="s">
        <v>655</v>
      </c>
      <c r="K53" s="6">
        <v>21900</v>
      </c>
      <c r="L53" s="1">
        <v>2.2999999999999998</v>
      </c>
      <c r="M53" s="1">
        <f t="shared" si="0"/>
        <v>398.66666666666669</v>
      </c>
      <c r="N53" s="62">
        <f t="shared" si="1"/>
        <v>54.933110367892972</v>
      </c>
    </row>
    <row r="54" spans="1:14" x14ac:dyDescent="0.25">
      <c r="A54" t="s">
        <v>656</v>
      </c>
      <c r="B54" t="s">
        <v>20</v>
      </c>
      <c r="C54" t="s">
        <v>657</v>
      </c>
      <c r="D54" t="str">
        <f>VLOOKUP(C54,'Staffing Cohorts'!F:H,3,FALSE)</f>
        <v>MA</v>
      </c>
      <c r="E54">
        <v>1</v>
      </c>
      <c r="J54" t="s">
        <v>658</v>
      </c>
      <c r="K54" s="6">
        <v>0</v>
      </c>
      <c r="L54" s="1">
        <v>0</v>
      </c>
      <c r="M54" s="1">
        <f t="shared" si="0"/>
        <v>0</v>
      </c>
      <c r="N54" s="62">
        <f t="shared" si="1"/>
        <v>0</v>
      </c>
    </row>
    <row r="55" spans="1:14" x14ac:dyDescent="0.25">
      <c r="A55" t="s">
        <v>659</v>
      </c>
      <c r="B55" t="s">
        <v>328</v>
      </c>
      <c r="C55" t="s">
        <v>555</v>
      </c>
      <c r="D55" t="str">
        <f>VLOOKUP(C55,'Staffing Cohorts'!F:H,3,FALSE)</f>
        <v>SUPV / MGR</v>
      </c>
      <c r="E55">
        <v>2.9</v>
      </c>
      <c r="J55" t="s">
        <v>660</v>
      </c>
      <c r="K55" s="6">
        <v>0</v>
      </c>
      <c r="L55" s="1">
        <v>0</v>
      </c>
      <c r="M55" s="1">
        <f t="shared" si="0"/>
        <v>0</v>
      </c>
      <c r="N55" s="62">
        <f t="shared" si="1"/>
        <v>0</v>
      </c>
    </row>
    <row r="56" spans="1:14" x14ac:dyDescent="0.25">
      <c r="A56" t="s">
        <v>661</v>
      </c>
      <c r="B56" t="s">
        <v>328</v>
      </c>
      <c r="C56" t="s">
        <v>323</v>
      </c>
      <c r="D56" t="str">
        <f>VLOOKUP(C56,'Staffing Cohorts'!F:H,3,FALSE)</f>
        <v>Other</v>
      </c>
      <c r="E56">
        <v>0.04</v>
      </c>
      <c r="J56" t="s">
        <v>662</v>
      </c>
      <c r="K56" s="6">
        <v>0</v>
      </c>
      <c r="L56" s="1">
        <v>0</v>
      </c>
      <c r="M56" s="1">
        <f t="shared" si="0"/>
        <v>0</v>
      </c>
      <c r="N56" s="62">
        <f t="shared" si="1"/>
        <v>0</v>
      </c>
    </row>
    <row r="57" spans="1:14" x14ac:dyDescent="0.25">
      <c r="A57" t="s">
        <v>663</v>
      </c>
      <c r="B57" t="s">
        <v>328</v>
      </c>
      <c r="C57" t="s">
        <v>324</v>
      </c>
      <c r="D57" t="str">
        <f>VLOOKUP(C57,'Staffing Cohorts'!F:H,3,FALSE)</f>
        <v>Other</v>
      </c>
      <c r="E57">
        <v>0.02</v>
      </c>
      <c r="J57" t="s">
        <v>664</v>
      </c>
      <c r="K57" s="6">
        <v>0</v>
      </c>
      <c r="L57" s="1">
        <v>0</v>
      </c>
      <c r="M57" s="1">
        <f t="shared" si="0"/>
        <v>0</v>
      </c>
      <c r="N57" s="62">
        <f t="shared" si="1"/>
        <v>0</v>
      </c>
    </row>
    <row r="58" spans="1:14" x14ac:dyDescent="0.25">
      <c r="A58" t="s">
        <v>665</v>
      </c>
      <c r="B58" t="s">
        <v>328</v>
      </c>
      <c r="C58" t="s">
        <v>557</v>
      </c>
      <c r="D58" t="str">
        <f>VLOOKUP(C58,'Staffing Cohorts'!F:H,3,FALSE)</f>
        <v>SUPV / MGR</v>
      </c>
      <c r="E58">
        <v>0.08</v>
      </c>
      <c r="J58" t="s">
        <v>666</v>
      </c>
      <c r="K58" s="6">
        <v>0</v>
      </c>
      <c r="L58" s="1">
        <v>0</v>
      </c>
      <c r="M58" s="1">
        <f t="shared" si="0"/>
        <v>0</v>
      </c>
      <c r="N58" s="62">
        <f t="shared" si="1"/>
        <v>0</v>
      </c>
    </row>
    <row r="59" spans="1:14" x14ac:dyDescent="0.25">
      <c r="A59" t="s">
        <v>667</v>
      </c>
      <c r="B59" t="s">
        <v>328</v>
      </c>
      <c r="C59" t="s">
        <v>559</v>
      </c>
      <c r="D59" t="str">
        <f>VLOOKUP(C59,'Staffing Cohorts'!F:H,3,FALSE)</f>
        <v>SUPV / MGR</v>
      </c>
      <c r="E59">
        <v>0.62</v>
      </c>
      <c r="J59" t="s">
        <v>668</v>
      </c>
      <c r="K59" s="6">
        <v>4450</v>
      </c>
      <c r="L59" s="1">
        <v>1</v>
      </c>
      <c r="M59" s="1">
        <f t="shared" si="0"/>
        <v>173.33333333333334</v>
      </c>
      <c r="N59" s="62">
        <f t="shared" si="1"/>
        <v>25.673076923076923</v>
      </c>
    </row>
    <row r="60" spans="1:14" x14ac:dyDescent="0.25">
      <c r="A60" t="s">
        <v>669</v>
      </c>
      <c r="B60" t="s">
        <v>328</v>
      </c>
      <c r="C60" t="s">
        <v>561</v>
      </c>
      <c r="D60" t="str">
        <f>VLOOKUP(C60,'Staffing Cohorts'!F:H,3,FALSE)</f>
        <v>RN</v>
      </c>
      <c r="E60">
        <v>5.97</v>
      </c>
      <c r="J60" t="s">
        <v>670</v>
      </c>
      <c r="K60" s="6">
        <v>24551</v>
      </c>
      <c r="L60" s="1">
        <v>3</v>
      </c>
      <c r="M60" s="1">
        <f t="shared" si="0"/>
        <v>520</v>
      </c>
      <c r="N60" s="62">
        <f t="shared" si="1"/>
        <v>47.213461538461537</v>
      </c>
    </row>
    <row r="61" spans="1:14" x14ac:dyDescent="0.25">
      <c r="A61" t="s">
        <v>671</v>
      </c>
      <c r="B61" t="s">
        <v>328</v>
      </c>
      <c r="C61" t="s">
        <v>567</v>
      </c>
      <c r="D61" t="str">
        <f>VLOOKUP(C61,'Staffing Cohorts'!F:H,3,FALSE)</f>
        <v>MA</v>
      </c>
      <c r="E61">
        <v>1.56</v>
      </c>
      <c r="J61" t="s">
        <v>672</v>
      </c>
      <c r="K61" s="6">
        <v>18588</v>
      </c>
      <c r="L61" s="1">
        <v>3</v>
      </c>
      <c r="M61" s="1">
        <f t="shared" si="0"/>
        <v>520</v>
      </c>
      <c r="N61" s="62">
        <f t="shared" si="1"/>
        <v>35.746153846153845</v>
      </c>
    </row>
    <row r="62" spans="1:14" x14ac:dyDescent="0.25">
      <c r="A62" t="s">
        <v>673</v>
      </c>
      <c r="B62" t="s">
        <v>328</v>
      </c>
      <c r="C62" t="s">
        <v>592</v>
      </c>
      <c r="D62" t="str">
        <f>VLOOKUP(C62,'Staffing Cohorts'!F:H,3,FALSE)</f>
        <v>RN</v>
      </c>
      <c r="E62">
        <v>0.5</v>
      </c>
      <c r="J62" t="s">
        <v>674</v>
      </c>
      <c r="K62" s="6">
        <v>6133</v>
      </c>
      <c r="L62" s="1">
        <v>1</v>
      </c>
      <c r="M62" s="1">
        <f t="shared" si="0"/>
        <v>173.33333333333334</v>
      </c>
      <c r="N62" s="62">
        <f t="shared" si="1"/>
        <v>35.382692307692302</v>
      </c>
    </row>
    <row r="63" spans="1:14" x14ac:dyDescent="0.25">
      <c r="A63" t="s">
        <v>675</v>
      </c>
      <c r="B63" t="s">
        <v>328</v>
      </c>
      <c r="C63" t="s">
        <v>571</v>
      </c>
      <c r="D63" t="str">
        <f>VLOOKUP(C63,'Staffing Cohorts'!F:H,3,FALSE)</f>
        <v>RN</v>
      </c>
      <c r="E63">
        <v>2.0199999999999996</v>
      </c>
      <c r="J63" t="s">
        <v>676</v>
      </c>
      <c r="K63" s="6">
        <v>7339</v>
      </c>
      <c r="L63" s="1">
        <v>1</v>
      </c>
      <c r="M63" s="1">
        <f t="shared" si="0"/>
        <v>173.33333333333334</v>
      </c>
      <c r="N63" s="62">
        <f t="shared" si="1"/>
        <v>42.340384615384615</v>
      </c>
    </row>
    <row r="64" spans="1:14" x14ac:dyDescent="0.25">
      <c r="A64" t="s">
        <v>677</v>
      </c>
      <c r="B64" t="s">
        <v>328</v>
      </c>
      <c r="C64" t="s">
        <v>576</v>
      </c>
      <c r="D64" t="str">
        <f>VLOOKUP(C64,'Staffing Cohorts'!F:H,3,FALSE)</f>
        <v>MOSC</v>
      </c>
      <c r="E64">
        <v>7.16</v>
      </c>
      <c r="J64" t="s">
        <v>678</v>
      </c>
      <c r="K64" s="6">
        <v>10448</v>
      </c>
      <c r="L64" s="1">
        <v>1</v>
      </c>
      <c r="M64" s="1">
        <f t="shared" si="0"/>
        <v>173.33333333333334</v>
      </c>
      <c r="N64" s="62">
        <f t="shared" si="1"/>
        <v>60.276923076923076</v>
      </c>
    </row>
    <row r="65" spans="1:14" x14ac:dyDescent="0.25">
      <c r="A65" t="s">
        <v>679</v>
      </c>
      <c r="B65" t="s">
        <v>328</v>
      </c>
      <c r="C65" t="s">
        <v>578</v>
      </c>
      <c r="D65" t="str">
        <f>VLOOKUP(C65,'Staffing Cohorts'!F:H,3,FALSE)</f>
        <v>MOSC</v>
      </c>
      <c r="E65">
        <v>10.84</v>
      </c>
      <c r="J65" t="s">
        <v>680</v>
      </c>
      <c r="K65" s="6">
        <v>7170</v>
      </c>
      <c r="L65" s="1">
        <v>1</v>
      </c>
      <c r="M65" s="1">
        <f t="shared" si="0"/>
        <v>173.33333333333334</v>
      </c>
      <c r="N65" s="62">
        <f t="shared" si="1"/>
        <v>41.365384615384613</v>
      </c>
    </row>
    <row r="66" spans="1:14" x14ac:dyDescent="0.25">
      <c r="A66" t="s">
        <v>681</v>
      </c>
      <c r="B66" t="s">
        <v>328</v>
      </c>
      <c r="C66" t="s">
        <v>335</v>
      </c>
      <c r="D66" t="str">
        <f>VLOOKUP(C66,'Staffing Cohorts'!F:H,3,FALSE)</f>
        <v>Other</v>
      </c>
      <c r="E66">
        <v>0.91</v>
      </c>
      <c r="J66" t="s">
        <v>332</v>
      </c>
      <c r="K66" s="6">
        <v>45987</v>
      </c>
      <c r="L66" s="1">
        <v>5.6000000000000005</v>
      </c>
      <c r="M66" s="1">
        <f t="shared" si="0"/>
        <v>970.66666666666686</v>
      </c>
      <c r="N66" s="62">
        <f t="shared" si="1"/>
        <v>47.376717032967022</v>
      </c>
    </row>
    <row r="67" spans="1:14" x14ac:dyDescent="0.25">
      <c r="A67" t="s">
        <v>682</v>
      </c>
      <c r="B67" t="s">
        <v>541</v>
      </c>
      <c r="C67" t="s">
        <v>555</v>
      </c>
      <c r="D67" t="str">
        <f>VLOOKUP(C67,'Staffing Cohorts'!F:H,3,FALSE)</f>
        <v>SUPV / MGR</v>
      </c>
      <c r="E67">
        <v>1</v>
      </c>
      <c r="J67" t="s">
        <v>683</v>
      </c>
      <c r="K67" s="6">
        <v>0</v>
      </c>
      <c r="L67" s="1">
        <v>0</v>
      </c>
      <c r="M67" s="1">
        <f t="shared" ref="M67:M130" si="2">(2080/12)*L67</f>
        <v>0</v>
      </c>
      <c r="N67" s="62">
        <f t="shared" ref="N67:N130" si="3">IFERROR(K67/M67,0)</f>
        <v>0</v>
      </c>
    </row>
    <row r="68" spans="1:14" x14ac:dyDescent="0.25">
      <c r="A68" t="s">
        <v>684</v>
      </c>
      <c r="B68" t="s">
        <v>541</v>
      </c>
      <c r="C68" t="s">
        <v>573</v>
      </c>
      <c r="D68" t="str">
        <f>VLOOKUP(C68,'Staffing Cohorts'!F:H,3,FALSE)</f>
        <v>SUPV / MGR</v>
      </c>
      <c r="E68">
        <v>1</v>
      </c>
      <c r="J68" t="s">
        <v>685</v>
      </c>
      <c r="K68" s="6">
        <v>6507</v>
      </c>
      <c r="L68" s="1">
        <v>0.9</v>
      </c>
      <c r="M68" s="1">
        <f t="shared" si="2"/>
        <v>156</v>
      </c>
      <c r="N68" s="62">
        <f t="shared" si="3"/>
        <v>41.71153846153846</v>
      </c>
    </row>
    <row r="69" spans="1:14" x14ac:dyDescent="0.25">
      <c r="A69" t="s">
        <v>686</v>
      </c>
      <c r="B69" t="s">
        <v>541</v>
      </c>
      <c r="C69" t="s">
        <v>587</v>
      </c>
      <c r="D69" t="str">
        <f>VLOOKUP(C69,'Staffing Cohorts'!F:H,3,FALSE)</f>
        <v>SUPV / MGR</v>
      </c>
      <c r="E69">
        <v>1.01</v>
      </c>
      <c r="J69" t="s">
        <v>687</v>
      </c>
      <c r="K69" s="6">
        <v>2912</v>
      </c>
      <c r="L69" s="1">
        <v>0.48</v>
      </c>
      <c r="M69" s="1">
        <f t="shared" si="2"/>
        <v>83.2</v>
      </c>
      <c r="N69" s="62">
        <f t="shared" si="3"/>
        <v>35</v>
      </c>
    </row>
    <row r="70" spans="1:14" x14ac:dyDescent="0.25">
      <c r="A70" t="s">
        <v>688</v>
      </c>
      <c r="B70" t="s">
        <v>541</v>
      </c>
      <c r="C70" t="s">
        <v>323</v>
      </c>
      <c r="D70" t="str">
        <f>VLOOKUP(C70,'Staffing Cohorts'!F:H,3,FALSE)</f>
        <v>Other</v>
      </c>
      <c r="E70">
        <v>0.22</v>
      </c>
      <c r="J70" t="s">
        <v>689</v>
      </c>
      <c r="K70" s="6">
        <v>0</v>
      </c>
      <c r="L70" s="1">
        <v>0</v>
      </c>
      <c r="M70" s="1">
        <f t="shared" si="2"/>
        <v>0</v>
      </c>
      <c r="N70" s="62">
        <f t="shared" si="3"/>
        <v>0</v>
      </c>
    </row>
    <row r="71" spans="1:14" x14ac:dyDescent="0.25">
      <c r="A71" t="s">
        <v>690</v>
      </c>
      <c r="B71" t="s">
        <v>541</v>
      </c>
      <c r="C71" t="s">
        <v>322</v>
      </c>
      <c r="D71" t="str">
        <f>VLOOKUP(C71,'Staffing Cohorts'!F:H,3,FALSE)</f>
        <v>Other</v>
      </c>
      <c r="E71">
        <v>-0.09</v>
      </c>
      <c r="J71" t="s">
        <v>691</v>
      </c>
      <c r="K71" s="6">
        <v>0</v>
      </c>
      <c r="L71" s="1">
        <v>0</v>
      </c>
      <c r="M71" s="1">
        <f t="shared" si="2"/>
        <v>0</v>
      </c>
      <c r="N71" s="62">
        <f t="shared" si="3"/>
        <v>0</v>
      </c>
    </row>
    <row r="72" spans="1:14" x14ac:dyDescent="0.25">
      <c r="A72" t="s">
        <v>692</v>
      </c>
      <c r="B72" t="s">
        <v>541</v>
      </c>
      <c r="C72" t="s">
        <v>557</v>
      </c>
      <c r="D72" t="str">
        <f>VLOOKUP(C72,'Staffing Cohorts'!F:H,3,FALSE)</f>
        <v>SUPV / MGR</v>
      </c>
      <c r="E72">
        <v>0.06</v>
      </c>
      <c r="J72" t="s">
        <v>693</v>
      </c>
      <c r="K72" s="6">
        <v>21102</v>
      </c>
      <c r="L72" s="1">
        <v>1.5</v>
      </c>
      <c r="M72" s="1">
        <f t="shared" si="2"/>
        <v>260</v>
      </c>
      <c r="N72" s="62">
        <f t="shared" si="3"/>
        <v>81.161538461538456</v>
      </c>
    </row>
    <row r="73" spans="1:14" x14ac:dyDescent="0.25">
      <c r="A73" t="s">
        <v>694</v>
      </c>
      <c r="B73" t="s">
        <v>541</v>
      </c>
      <c r="C73" t="s">
        <v>633</v>
      </c>
      <c r="D73" t="str">
        <f>VLOOKUP(C73,'Staffing Cohorts'!F:H,3,FALSE)</f>
        <v>SUPV / MGR</v>
      </c>
      <c r="E73">
        <v>1.04</v>
      </c>
      <c r="J73" t="s">
        <v>334</v>
      </c>
      <c r="K73" s="6">
        <v>80</v>
      </c>
      <c r="L73" s="1">
        <v>0.01</v>
      </c>
      <c r="M73" s="1">
        <f t="shared" si="2"/>
        <v>1.7333333333333334</v>
      </c>
      <c r="N73" s="62">
        <f t="shared" si="3"/>
        <v>46.153846153846153</v>
      </c>
    </row>
    <row r="74" spans="1:14" x14ac:dyDescent="0.25">
      <c r="A74" t="s">
        <v>695</v>
      </c>
      <c r="B74" t="s">
        <v>541</v>
      </c>
      <c r="C74" t="s">
        <v>561</v>
      </c>
      <c r="D74" t="str">
        <f>VLOOKUP(C74,'Staffing Cohorts'!F:H,3,FALSE)</f>
        <v>RN</v>
      </c>
      <c r="E74">
        <v>2.87</v>
      </c>
      <c r="J74" t="s">
        <v>696</v>
      </c>
      <c r="K74" s="6">
        <v>0</v>
      </c>
      <c r="L74" s="1">
        <v>0</v>
      </c>
      <c r="M74" s="1">
        <f t="shared" si="2"/>
        <v>0</v>
      </c>
      <c r="N74" s="62">
        <f t="shared" si="3"/>
        <v>0</v>
      </c>
    </row>
    <row r="75" spans="1:14" x14ac:dyDescent="0.25">
      <c r="A75" t="s">
        <v>697</v>
      </c>
      <c r="B75" t="s">
        <v>541</v>
      </c>
      <c r="C75" t="s">
        <v>567</v>
      </c>
      <c r="D75" t="str">
        <f>VLOOKUP(C75,'Staffing Cohorts'!F:H,3,FALSE)</f>
        <v>MA</v>
      </c>
      <c r="E75">
        <v>13.510000000000002</v>
      </c>
      <c r="J75" t="s">
        <v>333</v>
      </c>
      <c r="K75" s="6">
        <v>21167</v>
      </c>
      <c r="L75" s="1">
        <v>3</v>
      </c>
      <c r="M75" s="1">
        <f t="shared" si="2"/>
        <v>520</v>
      </c>
      <c r="N75" s="62">
        <f t="shared" si="3"/>
        <v>40.705769230769228</v>
      </c>
    </row>
    <row r="76" spans="1:14" x14ac:dyDescent="0.25">
      <c r="A76" t="s">
        <v>698</v>
      </c>
      <c r="B76" t="s">
        <v>541</v>
      </c>
      <c r="C76" t="s">
        <v>576</v>
      </c>
      <c r="D76" t="str">
        <f>VLOOKUP(C76,'Staffing Cohorts'!F:H,3,FALSE)</f>
        <v>MOSC</v>
      </c>
      <c r="E76">
        <v>3.99</v>
      </c>
      <c r="J76" t="s">
        <v>699</v>
      </c>
      <c r="K76" s="6">
        <v>0</v>
      </c>
      <c r="L76" s="1">
        <v>0</v>
      </c>
      <c r="M76" s="1">
        <f t="shared" si="2"/>
        <v>0</v>
      </c>
      <c r="N76" s="62">
        <f t="shared" si="3"/>
        <v>0</v>
      </c>
    </row>
    <row r="77" spans="1:14" x14ac:dyDescent="0.25">
      <c r="A77" t="s">
        <v>700</v>
      </c>
      <c r="B77" t="s">
        <v>541</v>
      </c>
      <c r="C77" t="s">
        <v>578</v>
      </c>
      <c r="D77" t="str">
        <f>VLOOKUP(C77,'Staffing Cohorts'!F:H,3,FALSE)</f>
        <v>MOSC</v>
      </c>
      <c r="E77">
        <v>5.8000000000000007</v>
      </c>
      <c r="J77" t="s">
        <v>701</v>
      </c>
      <c r="K77" s="6">
        <v>0</v>
      </c>
      <c r="L77" s="1">
        <v>0</v>
      </c>
      <c r="M77" s="1">
        <f t="shared" si="2"/>
        <v>0</v>
      </c>
      <c r="N77" s="62">
        <f t="shared" si="3"/>
        <v>0</v>
      </c>
    </row>
    <row r="78" spans="1:14" x14ac:dyDescent="0.25">
      <c r="A78" t="s">
        <v>702</v>
      </c>
      <c r="B78" t="s">
        <v>541</v>
      </c>
      <c r="C78" t="s">
        <v>330</v>
      </c>
      <c r="D78" t="str">
        <f>VLOOKUP(C78,'Staffing Cohorts'!F:H,3,FALSE)</f>
        <v>Other</v>
      </c>
      <c r="E78">
        <v>0.05</v>
      </c>
      <c r="J78" t="s">
        <v>703</v>
      </c>
      <c r="K78" s="6">
        <v>7758</v>
      </c>
      <c r="L78" s="1">
        <v>0.88</v>
      </c>
      <c r="M78" s="1">
        <f t="shared" si="2"/>
        <v>152.53333333333333</v>
      </c>
      <c r="N78" s="62">
        <f t="shared" si="3"/>
        <v>50.861013986013987</v>
      </c>
    </row>
    <row r="79" spans="1:14" x14ac:dyDescent="0.25">
      <c r="A79" t="s">
        <v>704</v>
      </c>
      <c r="B79" t="s">
        <v>74</v>
      </c>
      <c r="C79" t="s">
        <v>555</v>
      </c>
      <c r="D79" t="str">
        <f>VLOOKUP(C79,'Staffing Cohorts'!F:H,3,FALSE)</f>
        <v>SUPV / MGR</v>
      </c>
      <c r="E79">
        <v>0.6</v>
      </c>
      <c r="J79" t="s">
        <v>705</v>
      </c>
      <c r="K79" s="6">
        <v>0</v>
      </c>
      <c r="L79" s="1">
        <v>0</v>
      </c>
      <c r="M79" s="1">
        <f t="shared" si="2"/>
        <v>0</v>
      </c>
      <c r="N79" s="62">
        <f t="shared" si="3"/>
        <v>0</v>
      </c>
    </row>
    <row r="80" spans="1:14" x14ac:dyDescent="0.25">
      <c r="A80" t="s">
        <v>706</v>
      </c>
      <c r="B80" t="s">
        <v>74</v>
      </c>
      <c r="C80" t="s">
        <v>577</v>
      </c>
      <c r="D80" t="str">
        <f>VLOOKUP(C80,'Staffing Cohorts'!F:H,3,FALSE)</f>
        <v>SUPV / MGR</v>
      </c>
      <c r="E80">
        <v>0.8</v>
      </c>
      <c r="J80" t="s">
        <v>325</v>
      </c>
      <c r="K80" s="6">
        <v>58719</v>
      </c>
      <c r="L80" s="1">
        <v>11.809999999999999</v>
      </c>
      <c r="M80" s="1">
        <f t="shared" si="2"/>
        <v>2047.0666666666666</v>
      </c>
      <c r="N80" s="62">
        <f t="shared" si="3"/>
        <v>28.684459063375236</v>
      </c>
    </row>
    <row r="81" spans="1:14" x14ac:dyDescent="0.25">
      <c r="A81" t="s">
        <v>707</v>
      </c>
      <c r="B81" t="s">
        <v>74</v>
      </c>
      <c r="C81" t="s">
        <v>587</v>
      </c>
      <c r="D81" t="str">
        <f>VLOOKUP(C81,'Staffing Cohorts'!F:H,3,FALSE)</f>
        <v>SUPV / MGR</v>
      </c>
      <c r="E81">
        <v>1.08</v>
      </c>
      <c r="J81" t="s">
        <v>708</v>
      </c>
      <c r="K81" s="6">
        <v>343</v>
      </c>
      <c r="L81" s="1">
        <v>0.05</v>
      </c>
      <c r="M81" s="1">
        <f t="shared" si="2"/>
        <v>8.6666666666666679</v>
      </c>
      <c r="N81" s="62">
        <f t="shared" si="3"/>
        <v>39.576923076923073</v>
      </c>
    </row>
    <row r="82" spans="1:14" x14ac:dyDescent="0.25">
      <c r="A82" t="s">
        <v>709</v>
      </c>
      <c r="B82" t="s">
        <v>74</v>
      </c>
      <c r="C82" t="s">
        <v>557</v>
      </c>
      <c r="D82" t="str">
        <f>VLOOKUP(C82,'Staffing Cohorts'!F:H,3,FALSE)</f>
        <v>SUPV / MGR</v>
      </c>
      <c r="E82">
        <v>0.06</v>
      </c>
      <c r="J82" t="s">
        <v>710</v>
      </c>
      <c r="K82" s="6">
        <v>0</v>
      </c>
      <c r="L82" s="1">
        <v>0</v>
      </c>
      <c r="M82" s="1">
        <f t="shared" si="2"/>
        <v>0</v>
      </c>
      <c r="N82" s="62">
        <f t="shared" si="3"/>
        <v>0</v>
      </c>
    </row>
    <row r="83" spans="1:14" x14ac:dyDescent="0.25">
      <c r="A83" t="s">
        <v>711</v>
      </c>
      <c r="B83" t="s">
        <v>74</v>
      </c>
      <c r="C83" t="s">
        <v>633</v>
      </c>
      <c r="D83" t="str">
        <f>VLOOKUP(C83,'Staffing Cohorts'!F:H,3,FALSE)</f>
        <v>SUPV / MGR</v>
      </c>
      <c r="E83">
        <v>0.62</v>
      </c>
      <c r="J83" t="s">
        <v>561</v>
      </c>
      <c r="K83" s="6">
        <v>599195</v>
      </c>
      <c r="L83" s="1">
        <v>96.59999999999998</v>
      </c>
      <c r="M83" s="1">
        <f t="shared" si="2"/>
        <v>16743.999999999996</v>
      </c>
      <c r="N83" s="62">
        <f t="shared" si="3"/>
        <v>35.785654562828483</v>
      </c>
    </row>
    <row r="84" spans="1:14" x14ac:dyDescent="0.25">
      <c r="A84" t="s">
        <v>712</v>
      </c>
      <c r="B84" t="s">
        <v>74</v>
      </c>
      <c r="C84" t="s">
        <v>559</v>
      </c>
      <c r="D84" t="str">
        <f>VLOOKUP(C84,'Staffing Cohorts'!F:H,3,FALSE)</f>
        <v>SUPV / MGR</v>
      </c>
      <c r="E84">
        <v>0.83</v>
      </c>
      <c r="J84" t="s">
        <v>713</v>
      </c>
      <c r="K84" s="6">
        <v>27950</v>
      </c>
      <c r="L84" s="1">
        <v>3.8999999999999995</v>
      </c>
      <c r="M84" s="1">
        <f t="shared" si="2"/>
        <v>676</v>
      </c>
      <c r="N84" s="62">
        <f t="shared" si="3"/>
        <v>41.346153846153847</v>
      </c>
    </row>
    <row r="85" spans="1:14" x14ac:dyDescent="0.25">
      <c r="A85" t="s">
        <v>714</v>
      </c>
      <c r="B85" t="s">
        <v>74</v>
      </c>
      <c r="C85" t="s">
        <v>325</v>
      </c>
      <c r="D85" t="str">
        <f>VLOOKUP(C85,'Staffing Cohorts'!F:H,3,FALSE)</f>
        <v>Other</v>
      </c>
      <c r="E85">
        <v>1.1200000000000001</v>
      </c>
      <c r="J85" t="s">
        <v>715</v>
      </c>
      <c r="K85" s="6">
        <v>24474</v>
      </c>
      <c r="L85" s="1">
        <v>4.04</v>
      </c>
      <c r="M85" s="1">
        <f t="shared" si="2"/>
        <v>700.26666666666677</v>
      </c>
      <c r="N85" s="62">
        <f t="shared" si="3"/>
        <v>34.949543031226192</v>
      </c>
    </row>
    <row r="86" spans="1:14" x14ac:dyDescent="0.25">
      <c r="A86" t="s">
        <v>716</v>
      </c>
      <c r="B86" t="s">
        <v>74</v>
      </c>
      <c r="C86" t="s">
        <v>561</v>
      </c>
      <c r="D86" t="str">
        <f>VLOOKUP(C86,'Staffing Cohorts'!F:H,3,FALSE)</f>
        <v>RN</v>
      </c>
      <c r="E86">
        <v>4.92</v>
      </c>
      <c r="J86" t="s">
        <v>610</v>
      </c>
      <c r="K86" s="6">
        <v>6109</v>
      </c>
      <c r="L86" s="1">
        <v>0.85</v>
      </c>
      <c r="M86" s="1">
        <f t="shared" si="2"/>
        <v>147.33333333333334</v>
      </c>
      <c r="N86" s="62">
        <f t="shared" si="3"/>
        <v>41.463800904977376</v>
      </c>
    </row>
    <row r="87" spans="1:14" x14ac:dyDescent="0.25">
      <c r="A87" t="s">
        <v>717</v>
      </c>
      <c r="B87" t="s">
        <v>74</v>
      </c>
      <c r="C87" t="s">
        <v>715</v>
      </c>
      <c r="D87" t="str">
        <f>VLOOKUP(C87,'Staffing Cohorts'!F:H,3,FALSE)</f>
        <v>MA</v>
      </c>
      <c r="E87">
        <v>2.17</v>
      </c>
      <c r="J87" t="s">
        <v>563</v>
      </c>
      <c r="K87" s="6">
        <v>72825</v>
      </c>
      <c r="L87" s="1">
        <v>6.2799999999999994</v>
      </c>
      <c r="M87" s="1">
        <f t="shared" si="2"/>
        <v>1088.5333333333333</v>
      </c>
      <c r="N87" s="62">
        <f t="shared" si="3"/>
        <v>66.901947574718278</v>
      </c>
    </row>
    <row r="88" spans="1:14" x14ac:dyDescent="0.25">
      <c r="A88" t="s">
        <v>718</v>
      </c>
      <c r="B88" t="s">
        <v>74</v>
      </c>
      <c r="C88" t="s">
        <v>567</v>
      </c>
      <c r="D88" t="str">
        <f>VLOOKUP(C88,'Staffing Cohorts'!F:H,3,FALSE)</f>
        <v>MA</v>
      </c>
      <c r="E88">
        <v>4.43</v>
      </c>
      <c r="J88" t="s">
        <v>719</v>
      </c>
      <c r="K88" s="6">
        <v>0</v>
      </c>
      <c r="L88" s="1">
        <v>0</v>
      </c>
      <c r="M88" s="1">
        <f t="shared" si="2"/>
        <v>0</v>
      </c>
      <c r="N88" s="62">
        <f t="shared" si="3"/>
        <v>0</v>
      </c>
    </row>
    <row r="89" spans="1:14" x14ac:dyDescent="0.25">
      <c r="A89" t="s">
        <v>720</v>
      </c>
      <c r="B89" t="s">
        <v>74</v>
      </c>
      <c r="C89" t="s">
        <v>569</v>
      </c>
      <c r="D89" t="str">
        <f>VLOOKUP(C89,'Staffing Cohorts'!F:H,3,FALSE)</f>
        <v>RN</v>
      </c>
      <c r="E89">
        <v>2.0099999999999998</v>
      </c>
      <c r="J89" t="s">
        <v>586</v>
      </c>
      <c r="K89" s="6">
        <v>35396</v>
      </c>
      <c r="L89" s="1">
        <v>4.9099999999999993</v>
      </c>
      <c r="M89" s="1">
        <f t="shared" si="2"/>
        <v>851.06666666666661</v>
      </c>
      <c r="N89" s="62">
        <f t="shared" si="3"/>
        <v>41.590161366128783</v>
      </c>
    </row>
    <row r="90" spans="1:14" x14ac:dyDescent="0.25">
      <c r="A90" t="s">
        <v>721</v>
      </c>
      <c r="B90" t="s">
        <v>74</v>
      </c>
      <c r="C90" t="s">
        <v>571</v>
      </c>
      <c r="D90" t="str">
        <f>VLOOKUP(C90,'Staffing Cohorts'!F:H,3,FALSE)</f>
        <v>RN</v>
      </c>
      <c r="E90">
        <v>2.0099999999999998</v>
      </c>
      <c r="J90" t="s">
        <v>722</v>
      </c>
      <c r="K90" s="6">
        <v>40863</v>
      </c>
      <c r="L90" s="1">
        <v>5.4</v>
      </c>
      <c r="M90" s="1">
        <f t="shared" si="2"/>
        <v>936.00000000000011</v>
      </c>
      <c r="N90" s="62">
        <f t="shared" si="3"/>
        <v>43.657051282051277</v>
      </c>
    </row>
    <row r="91" spans="1:14" x14ac:dyDescent="0.25">
      <c r="A91" t="s">
        <v>723</v>
      </c>
      <c r="B91" t="s">
        <v>74</v>
      </c>
      <c r="C91" t="s">
        <v>576</v>
      </c>
      <c r="D91" t="str">
        <f>VLOOKUP(C91,'Staffing Cohorts'!F:H,3,FALSE)</f>
        <v>MOSC</v>
      </c>
      <c r="E91">
        <v>3.01</v>
      </c>
      <c r="J91" t="s">
        <v>724</v>
      </c>
      <c r="K91" s="6">
        <v>39663</v>
      </c>
      <c r="L91" s="1">
        <v>7.870000000000001</v>
      </c>
      <c r="M91" s="1">
        <f t="shared" si="2"/>
        <v>1364.1333333333337</v>
      </c>
      <c r="N91" s="62">
        <f t="shared" si="3"/>
        <v>29.075603557814478</v>
      </c>
    </row>
    <row r="92" spans="1:14" x14ac:dyDescent="0.25">
      <c r="A92" t="s">
        <v>725</v>
      </c>
      <c r="B92" t="s">
        <v>74</v>
      </c>
      <c r="C92" t="s">
        <v>578</v>
      </c>
      <c r="D92" t="str">
        <f>VLOOKUP(C92,'Staffing Cohorts'!F:H,3,FALSE)</f>
        <v>MOSC</v>
      </c>
      <c r="E92">
        <v>7.23</v>
      </c>
      <c r="J92" t="s">
        <v>726</v>
      </c>
      <c r="K92" s="6">
        <v>689</v>
      </c>
      <c r="L92" s="1">
        <v>0.09</v>
      </c>
      <c r="M92" s="1">
        <f t="shared" si="2"/>
        <v>15.6</v>
      </c>
      <c r="N92" s="62">
        <f t="shared" si="3"/>
        <v>44.166666666666664</v>
      </c>
    </row>
    <row r="93" spans="1:14" x14ac:dyDescent="0.25">
      <c r="A93" t="s">
        <v>727</v>
      </c>
      <c r="B93" t="s">
        <v>74</v>
      </c>
      <c r="C93" t="s">
        <v>728</v>
      </c>
      <c r="D93" t="str">
        <f>VLOOKUP(C93,'Staffing Cohorts'!F:H,3,FALSE)</f>
        <v>RN</v>
      </c>
      <c r="E93">
        <v>1.1200000000000001</v>
      </c>
      <c r="J93" t="s">
        <v>729</v>
      </c>
      <c r="K93" s="6">
        <v>0</v>
      </c>
      <c r="L93" s="1">
        <v>0</v>
      </c>
      <c r="M93" s="1">
        <f t="shared" si="2"/>
        <v>0</v>
      </c>
      <c r="N93" s="62">
        <f t="shared" si="3"/>
        <v>0</v>
      </c>
    </row>
    <row r="94" spans="1:14" x14ac:dyDescent="0.25">
      <c r="A94" t="s">
        <v>730</v>
      </c>
      <c r="B94" t="s">
        <v>392</v>
      </c>
      <c r="C94" t="s">
        <v>555</v>
      </c>
      <c r="D94" t="str">
        <f>VLOOKUP(C94,'Staffing Cohorts'!F:H,3,FALSE)</f>
        <v>SUPV / MGR</v>
      </c>
      <c r="E94">
        <v>1</v>
      </c>
      <c r="J94" t="s">
        <v>565</v>
      </c>
      <c r="K94" s="6">
        <v>15148</v>
      </c>
      <c r="L94" s="1">
        <v>3.1199999999999997</v>
      </c>
      <c r="M94" s="1">
        <f t="shared" si="2"/>
        <v>540.79999999999995</v>
      </c>
      <c r="N94" s="62">
        <f t="shared" si="3"/>
        <v>28.010355029585803</v>
      </c>
    </row>
    <row r="95" spans="1:14" x14ac:dyDescent="0.25">
      <c r="A95" t="s">
        <v>731</v>
      </c>
      <c r="B95" t="s">
        <v>392</v>
      </c>
      <c r="C95" t="s">
        <v>573</v>
      </c>
      <c r="D95" t="str">
        <f>VLOOKUP(C95,'Staffing Cohorts'!F:H,3,FALSE)</f>
        <v>SUPV / MGR</v>
      </c>
      <c r="E95">
        <v>1</v>
      </c>
      <c r="J95" t="s">
        <v>732</v>
      </c>
      <c r="K95" s="6">
        <v>788</v>
      </c>
      <c r="L95" s="1">
        <v>0.18</v>
      </c>
      <c r="M95" s="1">
        <f t="shared" si="2"/>
        <v>31.2</v>
      </c>
      <c r="N95" s="62">
        <f t="shared" si="3"/>
        <v>25.256410256410255</v>
      </c>
    </row>
    <row r="96" spans="1:14" x14ac:dyDescent="0.25">
      <c r="A96" t="s">
        <v>733</v>
      </c>
      <c r="B96" t="s">
        <v>392</v>
      </c>
      <c r="C96" t="s">
        <v>577</v>
      </c>
      <c r="D96" t="str">
        <f>VLOOKUP(C96,'Staffing Cohorts'!F:H,3,FALSE)</f>
        <v>SUPV / MGR</v>
      </c>
      <c r="E96">
        <v>0.5</v>
      </c>
      <c r="J96" t="s">
        <v>589</v>
      </c>
      <c r="K96" s="6">
        <v>394105</v>
      </c>
      <c r="L96" s="1">
        <v>85.859999999999985</v>
      </c>
      <c r="M96" s="1">
        <f t="shared" si="2"/>
        <v>14882.399999999998</v>
      </c>
      <c r="N96" s="62">
        <f t="shared" si="3"/>
        <v>26.481279901091227</v>
      </c>
    </row>
    <row r="97" spans="1:14" x14ac:dyDescent="0.25">
      <c r="A97" t="s">
        <v>734</v>
      </c>
      <c r="B97" t="s">
        <v>392</v>
      </c>
      <c r="C97" t="s">
        <v>582</v>
      </c>
      <c r="D97" t="str">
        <f>VLOOKUP(C97,'Staffing Cohorts'!F:H,3,FALSE)</f>
        <v>SUPV / MGR</v>
      </c>
      <c r="E97">
        <v>1</v>
      </c>
      <c r="J97" t="s">
        <v>567</v>
      </c>
      <c r="K97" s="6">
        <v>497594</v>
      </c>
      <c r="L97" s="1">
        <v>101.40000000000006</v>
      </c>
      <c r="M97" s="1">
        <f t="shared" si="2"/>
        <v>17576.000000000011</v>
      </c>
      <c r="N97" s="62">
        <f t="shared" si="3"/>
        <v>28.310992262175677</v>
      </c>
    </row>
    <row r="98" spans="1:14" x14ac:dyDescent="0.25">
      <c r="A98" t="s">
        <v>735</v>
      </c>
      <c r="B98" t="s">
        <v>392</v>
      </c>
      <c r="C98" t="s">
        <v>323</v>
      </c>
      <c r="D98" t="str">
        <f>VLOOKUP(C98,'Staffing Cohorts'!F:H,3,FALSE)</f>
        <v>Other</v>
      </c>
      <c r="E98">
        <v>0.01</v>
      </c>
      <c r="J98" t="s">
        <v>736</v>
      </c>
      <c r="K98" s="6">
        <v>0</v>
      </c>
      <c r="L98" s="1">
        <v>0</v>
      </c>
      <c r="M98" s="1">
        <f t="shared" si="2"/>
        <v>0</v>
      </c>
      <c r="N98" s="62">
        <f t="shared" si="3"/>
        <v>0</v>
      </c>
    </row>
    <row r="99" spans="1:14" x14ac:dyDescent="0.25">
      <c r="A99" t="s">
        <v>737</v>
      </c>
      <c r="B99" t="s">
        <v>392</v>
      </c>
      <c r="C99" t="s">
        <v>322</v>
      </c>
      <c r="D99" t="str">
        <f>VLOOKUP(C99,'Staffing Cohorts'!F:H,3,FALSE)</f>
        <v>Other</v>
      </c>
      <c r="E99">
        <v>0.2</v>
      </c>
      <c r="J99" t="s">
        <v>738</v>
      </c>
      <c r="K99" s="6">
        <v>0</v>
      </c>
      <c r="L99" s="1">
        <v>0</v>
      </c>
      <c r="M99" s="1">
        <f t="shared" si="2"/>
        <v>0</v>
      </c>
      <c r="N99" s="62">
        <f t="shared" si="3"/>
        <v>0</v>
      </c>
    </row>
    <row r="100" spans="1:14" x14ac:dyDescent="0.25">
      <c r="A100" t="s">
        <v>739</v>
      </c>
      <c r="B100" t="s">
        <v>392</v>
      </c>
      <c r="C100" t="s">
        <v>633</v>
      </c>
      <c r="D100" t="str">
        <f>VLOOKUP(C100,'Staffing Cohorts'!F:H,3,FALSE)</f>
        <v>SUPV / MGR</v>
      </c>
      <c r="E100">
        <v>0.52</v>
      </c>
      <c r="J100" t="s">
        <v>740</v>
      </c>
      <c r="K100" s="6">
        <v>16148</v>
      </c>
      <c r="L100" s="1">
        <v>1.5999999999999999</v>
      </c>
      <c r="M100" s="1">
        <f t="shared" si="2"/>
        <v>277.33333333333331</v>
      </c>
      <c r="N100" s="62">
        <f t="shared" si="3"/>
        <v>58.22596153846154</v>
      </c>
    </row>
    <row r="101" spans="1:14" x14ac:dyDescent="0.25">
      <c r="A101" t="s">
        <v>741</v>
      </c>
      <c r="B101" t="s">
        <v>392</v>
      </c>
      <c r="C101" t="s">
        <v>559</v>
      </c>
      <c r="D101" t="str">
        <f>VLOOKUP(C101,'Staffing Cohorts'!F:H,3,FALSE)</f>
        <v>SUPV / MGR</v>
      </c>
      <c r="E101">
        <v>0.52</v>
      </c>
      <c r="J101" t="s">
        <v>742</v>
      </c>
      <c r="K101" s="6">
        <v>68010</v>
      </c>
      <c r="L101" s="1">
        <v>7.8099999999999987</v>
      </c>
      <c r="M101" s="1">
        <f t="shared" si="2"/>
        <v>1353.7333333333331</v>
      </c>
      <c r="N101" s="62">
        <f t="shared" si="3"/>
        <v>50.238845661380878</v>
      </c>
    </row>
    <row r="102" spans="1:14" x14ac:dyDescent="0.25">
      <c r="A102" t="s">
        <v>743</v>
      </c>
      <c r="B102" t="s">
        <v>392</v>
      </c>
      <c r="C102" t="s">
        <v>561</v>
      </c>
      <c r="D102" t="str">
        <f>VLOOKUP(C102,'Staffing Cohorts'!F:H,3,FALSE)</f>
        <v>RN</v>
      </c>
      <c r="E102">
        <v>2.8600000000000003</v>
      </c>
      <c r="J102" t="s">
        <v>744</v>
      </c>
      <c r="K102" s="6">
        <v>0</v>
      </c>
      <c r="L102" s="1">
        <v>0</v>
      </c>
      <c r="M102" s="1">
        <f t="shared" si="2"/>
        <v>0</v>
      </c>
      <c r="N102" s="62">
        <f t="shared" si="3"/>
        <v>0</v>
      </c>
    </row>
    <row r="103" spans="1:14" x14ac:dyDescent="0.25">
      <c r="A103" t="s">
        <v>745</v>
      </c>
      <c r="B103" t="s">
        <v>392</v>
      </c>
      <c r="C103" t="s">
        <v>567</v>
      </c>
      <c r="D103" t="str">
        <f>VLOOKUP(C103,'Staffing Cohorts'!F:H,3,FALSE)</f>
        <v>MA</v>
      </c>
      <c r="E103">
        <v>4.46</v>
      </c>
      <c r="J103" t="s">
        <v>746</v>
      </c>
      <c r="K103" s="6">
        <v>10074</v>
      </c>
      <c r="L103" s="1">
        <v>1.02</v>
      </c>
      <c r="M103" s="1">
        <f t="shared" si="2"/>
        <v>176.8</v>
      </c>
      <c r="N103" s="62">
        <f t="shared" si="3"/>
        <v>56.979638009049772</v>
      </c>
    </row>
    <row r="104" spans="1:14" x14ac:dyDescent="0.25">
      <c r="A104" t="s">
        <v>747</v>
      </c>
      <c r="B104" t="s">
        <v>392</v>
      </c>
      <c r="C104" t="s">
        <v>571</v>
      </c>
      <c r="D104" t="str">
        <f>VLOOKUP(C104,'Staffing Cohorts'!F:H,3,FALSE)</f>
        <v>RN</v>
      </c>
      <c r="E104">
        <v>4.12</v>
      </c>
      <c r="J104" t="s">
        <v>748</v>
      </c>
      <c r="K104" s="6">
        <v>23267</v>
      </c>
      <c r="L104" s="1">
        <v>2.33</v>
      </c>
      <c r="M104" s="1">
        <f t="shared" si="2"/>
        <v>403.86666666666667</v>
      </c>
      <c r="N104" s="62">
        <f t="shared" si="3"/>
        <v>57.610597556949486</v>
      </c>
    </row>
    <row r="105" spans="1:14" x14ac:dyDescent="0.25">
      <c r="A105" t="s">
        <v>749</v>
      </c>
      <c r="B105" t="s">
        <v>392</v>
      </c>
      <c r="C105" t="s">
        <v>576</v>
      </c>
      <c r="D105" t="str">
        <f>VLOOKUP(C105,'Staffing Cohorts'!F:H,3,FALSE)</f>
        <v>MOSC</v>
      </c>
      <c r="E105">
        <v>5.82</v>
      </c>
      <c r="J105" t="s">
        <v>750</v>
      </c>
      <c r="K105" s="6">
        <v>0</v>
      </c>
      <c r="L105" s="1">
        <v>0</v>
      </c>
      <c r="M105" s="1">
        <f t="shared" si="2"/>
        <v>0</v>
      </c>
      <c r="N105" s="62">
        <f t="shared" si="3"/>
        <v>0</v>
      </c>
    </row>
    <row r="106" spans="1:14" x14ac:dyDescent="0.25">
      <c r="A106" t="s">
        <v>751</v>
      </c>
      <c r="B106" t="s">
        <v>392</v>
      </c>
      <c r="C106" t="s">
        <v>578</v>
      </c>
      <c r="D106" t="str">
        <f>VLOOKUP(C106,'Staffing Cohorts'!F:H,3,FALSE)</f>
        <v>MOSC</v>
      </c>
      <c r="E106">
        <v>8.73</v>
      </c>
      <c r="J106" t="s">
        <v>752</v>
      </c>
      <c r="K106" s="6">
        <v>1051</v>
      </c>
      <c r="L106" s="1">
        <v>0.11</v>
      </c>
      <c r="M106" s="1">
        <f t="shared" si="2"/>
        <v>19.066666666666666</v>
      </c>
      <c r="N106" s="62">
        <f t="shared" si="3"/>
        <v>55.12237762237762</v>
      </c>
    </row>
    <row r="107" spans="1:14" x14ac:dyDescent="0.25">
      <c r="A107" t="s">
        <v>753</v>
      </c>
      <c r="B107" t="s">
        <v>392</v>
      </c>
      <c r="C107" t="s">
        <v>327</v>
      </c>
      <c r="D107" t="str">
        <f>VLOOKUP(C107,'Staffing Cohorts'!F:H,3,FALSE)</f>
        <v>Other</v>
      </c>
      <c r="E107">
        <v>0.87</v>
      </c>
      <c r="J107" t="s">
        <v>754</v>
      </c>
      <c r="K107" s="6">
        <v>16705</v>
      </c>
      <c r="L107" s="1">
        <v>1.83</v>
      </c>
      <c r="M107" s="1">
        <f t="shared" si="2"/>
        <v>317.20000000000005</v>
      </c>
      <c r="N107" s="62">
        <f t="shared" si="3"/>
        <v>52.663934426229503</v>
      </c>
    </row>
    <row r="108" spans="1:14" x14ac:dyDescent="0.25">
      <c r="A108" t="s">
        <v>755</v>
      </c>
      <c r="B108" t="s">
        <v>542</v>
      </c>
      <c r="C108" t="s">
        <v>555</v>
      </c>
      <c r="D108" t="str">
        <f>VLOOKUP(C108,'Staffing Cohorts'!F:H,3,FALSE)</f>
        <v>SUPV / MGR</v>
      </c>
      <c r="E108">
        <v>0.3</v>
      </c>
      <c r="J108" t="s">
        <v>756</v>
      </c>
      <c r="K108" s="6">
        <v>66290</v>
      </c>
      <c r="L108" s="1">
        <v>8.1199999999999992</v>
      </c>
      <c r="M108" s="1">
        <f t="shared" si="2"/>
        <v>1407.4666666666667</v>
      </c>
      <c r="N108" s="62">
        <f t="shared" si="3"/>
        <v>47.098806366047747</v>
      </c>
    </row>
    <row r="109" spans="1:14" x14ac:dyDescent="0.25">
      <c r="A109" t="s">
        <v>757</v>
      </c>
      <c r="B109" t="s">
        <v>542</v>
      </c>
      <c r="C109" t="s">
        <v>577</v>
      </c>
      <c r="D109" t="str">
        <f>VLOOKUP(C109,'Staffing Cohorts'!F:H,3,FALSE)</f>
        <v>SUPV / MGR</v>
      </c>
      <c r="E109">
        <v>0.1</v>
      </c>
      <c r="J109" t="s">
        <v>758</v>
      </c>
      <c r="K109" s="6">
        <v>9533</v>
      </c>
      <c r="L109" s="1">
        <v>1.33</v>
      </c>
      <c r="M109" s="1">
        <f t="shared" si="2"/>
        <v>230.53333333333336</v>
      </c>
      <c r="N109" s="62">
        <f t="shared" si="3"/>
        <v>41.351937536148057</v>
      </c>
    </row>
    <row r="110" spans="1:14" x14ac:dyDescent="0.25">
      <c r="A110" t="s">
        <v>759</v>
      </c>
      <c r="B110" t="s">
        <v>542</v>
      </c>
      <c r="C110" t="s">
        <v>322</v>
      </c>
      <c r="D110" t="str">
        <f>VLOOKUP(C110,'Staffing Cohorts'!F:H,3,FALSE)</f>
        <v>Other</v>
      </c>
      <c r="E110">
        <v>0.14000000000000001</v>
      </c>
      <c r="J110" t="s">
        <v>760</v>
      </c>
      <c r="K110" s="6">
        <v>9460</v>
      </c>
      <c r="L110" s="1">
        <v>1.06</v>
      </c>
      <c r="M110" s="1">
        <f t="shared" si="2"/>
        <v>183.73333333333335</v>
      </c>
      <c r="N110" s="62">
        <f t="shared" si="3"/>
        <v>51.487663280116109</v>
      </c>
    </row>
    <row r="111" spans="1:14" x14ac:dyDescent="0.25">
      <c r="A111" t="s">
        <v>761</v>
      </c>
      <c r="B111" t="s">
        <v>542</v>
      </c>
      <c r="C111" t="s">
        <v>557</v>
      </c>
      <c r="D111" t="str">
        <f>VLOOKUP(C111,'Staffing Cohorts'!F:H,3,FALSE)</f>
        <v>SUPV / MGR</v>
      </c>
      <c r="E111">
        <v>0.01</v>
      </c>
      <c r="J111" t="s">
        <v>762</v>
      </c>
      <c r="K111" s="6">
        <v>29329</v>
      </c>
      <c r="L111" s="1">
        <v>3.38</v>
      </c>
      <c r="M111" s="1">
        <f t="shared" si="2"/>
        <v>585.86666666666667</v>
      </c>
      <c r="N111" s="62">
        <f t="shared" si="3"/>
        <v>50.060878470641782</v>
      </c>
    </row>
    <row r="112" spans="1:14" x14ac:dyDescent="0.25">
      <c r="A112" t="s">
        <v>763</v>
      </c>
      <c r="B112" t="s">
        <v>542</v>
      </c>
      <c r="C112" t="s">
        <v>633</v>
      </c>
      <c r="D112" t="str">
        <f>VLOOKUP(C112,'Staffing Cohorts'!F:H,3,FALSE)</f>
        <v>SUPV / MGR</v>
      </c>
      <c r="E112">
        <v>0.31</v>
      </c>
      <c r="J112" t="s">
        <v>764</v>
      </c>
      <c r="K112" s="6">
        <v>0</v>
      </c>
      <c r="L112" s="1">
        <v>0</v>
      </c>
      <c r="M112" s="1">
        <f t="shared" si="2"/>
        <v>0</v>
      </c>
      <c r="N112" s="62">
        <f t="shared" si="3"/>
        <v>0</v>
      </c>
    </row>
    <row r="113" spans="1:14" x14ac:dyDescent="0.25">
      <c r="A113" t="s">
        <v>765</v>
      </c>
      <c r="B113" t="s">
        <v>542</v>
      </c>
      <c r="C113" t="s">
        <v>559</v>
      </c>
      <c r="D113" t="str">
        <f>VLOOKUP(C113,'Staffing Cohorts'!F:H,3,FALSE)</f>
        <v>SUPV / MGR</v>
      </c>
      <c r="E113">
        <v>0.1</v>
      </c>
      <c r="J113" t="s">
        <v>766</v>
      </c>
      <c r="K113" s="6">
        <v>26971</v>
      </c>
      <c r="L113" s="1">
        <v>2</v>
      </c>
      <c r="M113" s="1">
        <f t="shared" si="2"/>
        <v>346.66666666666669</v>
      </c>
      <c r="N113" s="62">
        <f t="shared" si="3"/>
        <v>77.800961538461536</v>
      </c>
    </row>
    <row r="114" spans="1:14" x14ac:dyDescent="0.25">
      <c r="A114" t="s">
        <v>767</v>
      </c>
      <c r="B114" t="s">
        <v>542</v>
      </c>
      <c r="C114" t="s">
        <v>334</v>
      </c>
      <c r="D114" t="str">
        <f>VLOOKUP(C114,'Staffing Cohorts'!F:H,3,FALSE)</f>
        <v>Other</v>
      </c>
      <c r="E114">
        <v>0.01</v>
      </c>
      <c r="J114" t="s">
        <v>592</v>
      </c>
      <c r="K114" s="6">
        <v>55900</v>
      </c>
      <c r="L114" s="1">
        <v>4.16</v>
      </c>
      <c r="M114" s="1">
        <f t="shared" si="2"/>
        <v>721.06666666666672</v>
      </c>
      <c r="N114" s="62">
        <f t="shared" si="3"/>
        <v>77.524038461538453</v>
      </c>
    </row>
    <row r="115" spans="1:14" x14ac:dyDescent="0.25">
      <c r="A115" t="s">
        <v>768</v>
      </c>
      <c r="B115" t="s">
        <v>542</v>
      </c>
      <c r="C115" t="s">
        <v>325</v>
      </c>
      <c r="D115" t="str">
        <f>VLOOKUP(C115,'Staffing Cohorts'!F:H,3,FALSE)</f>
        <v>Other</v>
      </c>
      <c r="E115">
        <v>0.8</v>
      </c>
      <c r="J115" t="s">
        <v>769</v>
      </c>
      <c r="K115" s="6">
        <v>41267</v>
      </c>
      <c r="L115" s="1">
        <v>2</v>
      </c>
      <c r="M115" s="1">
        <f t="shared" si="2"/>
        <v>346.66666666666669</v>
      </c>
      <c r="N115" s="62">
        <f t="shared" si="3"/>
        <v>119.03942307692307</v>
      </c>
    </row>
    <row r="116" spans="1:14" x14ac:dyDescent="0.25">
      <c r="A116" t="s">
        <v>770</v>
      </c>
      <c r="B116" t="s">
        <v>542</v>
      </c>
      <c r="C116" t="s">
        <v>561</v>
      </c>
      <c r="D116" t="str">
        <f>VLOOKUP(C116,'Staffing Cohorts'!F:H,3,FALSE)</f>
        <v>RN</v>
      </c>
      <c r="E116">
        <v>1.02</v>
      </c>
      <c r="J116" t="s">
        <v>771</v>
      </c>
      <c r="K116" s="6">
        <v>0</v>
      </c>
      <c r="L116" s="1">
        <v>0</v>
      </c>
      <c r="M116" s="1">
        <f t="shared" si="2"/>
        <v>0</v>
      </c>
      <c r="N116" s="62">
        <f t="shared" si="3"/>
        <v>0</v>
      </c>
    </row>
    <row r="117" spans="1:14" x14ac:dyDescent="0.25">
      <c r="A117" t="s">
        <v>772</v>
      </c>
      <c r="B117" t="s">
        <v>542</v>
      </c>
      <c r="C117" t="s">
        <v>567</v>
      </c>
      <c r="D117" t="str">
        <f>VLOOKUP(C117,'Staffing Cohorts'!F:H,3,FALSE)</f>
        <v>MA</v>
      </c>
      <c r="E117">
        <v>1.08</v>
      </c>
      <c r="J117" t="s">
        <v>773</v>
      </c>
      <c r="K117" s="6">
        <v>0</v>
      </c>
      <c r="L117" s="1">
        <v>0</v>
      </c>
      <c r="M117" s="1">
        <f t="shared" si="2"/>
        <v>0</v>
      </c>
      <c r="N117" s="62">
        <f t="shared" si="3"/>
        <v>0</v>
      </c>
    </row>
    <row r="118" spans="1:14" x14ac:dyDescent="0.25">
      <c r="A118" t="s">
        <v>774</v>
      </c>
      <c r="B118" t="s">
        <v>542</v>
      </c>
      <c r="C118" t="s">
        <v>569</v>
      </c>
      <c r="D118" t="str">
        <f>VLOOKUP(C118,'Staffing Cohorts'!F:H,3,FALSE)</f>
        <v>RN</v>
      </c>
      <c r="E118">
        <v>1.0900000000000001</v>
      </c>
      <c r="J118" t="s">
        <v>569</v>
      </c>
      <c r="K118" s="6">
        <v>476286</v>
      </c>
      <c r="L118" s="1">
        <v>32.67</v>
      </c>
      <c r="M118" s="1">
        <f t="shared" si="2"/>
        <v>5662.8</v>
      </c>
      <c r="N118" s="62">
        <f t="shared" si="3"/>
        <v>84.107861835134557</v>
      </c>
    </row>
    <row r="119" spans="1:14" x14ac:dyDescent="0.25">
      <c r="A119" t="s">
        <v>775</v>
      </c>
      <c r="B119" t="s">
        <v>542</v>
      </c>
      <c r="C119" t="s">
        <v>576</v>
      </c>
      <c r="D119" t="str">
        <f>VLOOKUP(C119,'Staffing Cohorts'!F:H,3,FALSE)</f>
        <v>MOSC</v>
      </c>
      <c r="E119">
        <v>0.76</v>
      </c>
      <c r="J119" t="s">
        <v>571</v>
      </c>
      <c r="K119" s="6">
        <v>1020219</v>
      </c>
      <c r="L119" s="1">
        <v>80.790000000000063</v>
      </c>
      <c r="M119" s="1">
        <f t="shared" si="2"/>
        <v>14003.600000000011</v>
      </c>
      <c r="N119" s="62">
        <f t="shared" si="3"/>
        <v>72.854051815247445</v>
      </c>
    </row>
    <row r="120" spans="1:14" x14ac:dyDescent="0.25">
      <c r="A120" t="s">
        <v>776</v>
      </c>
      <c r="B120" t="s">
        <v>542</v>
      </c>
      <c r="C120" t="s">
        <v>578</v>
      </c>
      <c r="D120" t="str">
        <f>VLOOKUP(C120,'Staffing Cohorts'!F:H,3,FALSE)</f>
        <v>MOSC</v>
      </c>
      <c r="E120">
        <v>2.46</v>
      </c>
      <c r="J120" t="s">
        <v>777</v>
      </c>
      <c r="K120" s="6">
        <v>0</v>
      </c>
      <c r="L120" s="1">
        <v>0</v>
      </c>
      <c r="M120" s="1">
        <f t="shared" si="2"/>
        <v>0</v>
      </c>
      <c r="N120" s="62">
        <f t="shared" si="3"/>
        <v>0</v>
      </c>
    </row>
    <row r="121" spans="1:14" x14ac:dyDescent="0.25">
      <c r="A121" t="s">
        <v>778</v>
      </c>
      <c r="B121" t="s">
        <v>542</v>
      </c>
      <c r="C121" t="s">
        <v>327</v>
      </c>
      <c r="D121" t="str">
        <f>VLOOKUP(C121,'Staffing Cohorts'!F:H,3,FALSE)</f>
        <v>Other</v>
      </c>
      <c r="E121">
        <v>0.8</v>
      </c>
      <c r="J121" t="s">
        <v>572</v>
      </c>
      <c r="K121" s="6">
        <v>110531</v>
      </c>
      <c r="L121" s="1">
        <v>7.87</v>
      </c>
      <c r="M121" s="1">
        <f t="shared" si="2"/>
        <v>1364.1333333333334</v>
      </c>
      <c r="N121" s="62">
        <f t="shared" si="3"/>
        <v>81.026536995406119</v>
      </c>
    </row>
    <row r="122" spans="1:14" x14ac:dyDescent="0.25">
      <c r="A122" t="s">
        <v>779</v>
      </c>
      <c r="B122" t="s">
        <v>28</v>
      </c>
      <c r="C122" t="s">
        <v>555</v>
      </c>
      <c r="D122" t="str">
        <f>VLOOKUP(C122,'Staffing Cohorts'!F:H,3,FALSE)</f>
        <v>SUPV / MGR</v>
      </c>
      <c r="E122">
        <v>1</v>
      </c>
      <c r="J122" t="s">
        <v>780</v>
      </c>
      <c r="K122" s="6">
        <v>12870</v>
      </c>
      <c r="L122" s="1">
        <v>1.03</v>
      </c>
      <c r="M122" s="1">
        <f t="shared" si="2"/>
        <v>178.53333333333336</v>
      </c>
      <c r="N122" s="62">
        <f t="shared" si="3"/>
        <v>72.087378640776691</v>
      </c>
    </row>
    <row r="123" spans="1:14" x14ac:dyDescent="0.25">
      <c r="A123" t="s">
        <v>781</v>
      </c>
      <c r="B123" t="s">
        <v>28</v>
      </c>
      <c r="C123" t="s">
        <v>324</v>
      </c>
      <c r="D123" t="str">
        <f>VLOOKUP(C123,'Staffing Cohorts'!F:H,3,FALSE)</f>
        <v>Other</v>
      </c>
      <c r="E123">
        <v>0.26</v>
      </c>
      <c r="J123" t="s">
        <v>782</v>
      </c>
      <c r="K123" s="6">
        <v>32247</v>
      </c>
      <c r="L123" s="1">
        <v>6.0499999999999989</v>
      </c>
      <c r="M123" s="1">
        <f t="shared" si="2"/>
        <v>1048.6666666666665</v>
      </c>
      <c r="N123" s="62">
        <f t="shared" si="3"/>
        <v>30.750476795931345</v>
      </c>
    </row>
    <row r="124" spans="1:14" x14ac:dyDescent="0.25">
      <c r="A124" t="s">
        <v>783</v>
      </c>
      <c r="B124" t="s">
        <v>28</v>
      </c>
      <c r="C124" t="s">
        <v>322</v>
      </c>
      <c r="D124" t="str">
        <f>VLOOKUP(C124,'Staffing Cohorts'!F:H,3,FALSE)</f>
        <v>Other</v>
      </c>
      <c r="E124">
        <v>2.92</v>
      </c>
      <c r="J124" t="s">
        <v>657</v>
      </c>
      <c r="K124" s="6">
        <v>5247</v>
      </c>
      <c r="L124" s="1">
        <v>1</v>
      </c>
      <c r="M124" s="1">
        <f t="shared" si="2"/>
        <v>173.33333333333334</v>
      </c>
      <c r="N124" s="62">
        <f t="shared" si="3"/>
        <v>30.271153846153844</v>
      </c>
    </row>
    <row r="125" spans="1:14" x14ac:dyDescent="0.25">
      <c r="A125" t="s">
        <v>784</v>
      </c>
      <c r="B125" t="s">
        <v>28</v>
      </c>
      <c r="C125" t="s">
        <v>557</v>
      </c>
      <c r="D125" t="str">
        <f>VLOOKUP(C125,'Staffing Cohorts'!F:H,3,FALSE)</f>
        <v>SUPV / MGR</v>
      </c>
      <c r="E125">
        <v>7.0000000000000007E-2</v>
      </c>
      <c r="J125" t="s">
        <v>785</v>
      </c>
      <c r="K125" s="6">
        <v>0</v>
      </c>
      <c r="L125" s="1">
        <v>0</v>
      </c>
      <c r="M125" s="1">
        <f t="shared" si="2"/>
        <v>0</v>
      </c>
      <c r="N125" s="62">
        <f t="shared" si="3"/>
        <v>0</v>
      </c>
    </row>
    <row r="126" spans="1:14" x14ac:dyDescent="0.25">
      <c r="A126" t="s">
        <v>786</v>
      </c>
      <c r="B126" t="s">
        <v>28</v>
      </c>
      <c r="C126" t="s">
        <v>633</v>
      </c>
      <c r="D126" t="str">
        <f>VLOOKUP(C126,'Staffing Cohorts'!F:H,3,FALSE)</f>
        <v>SUPV / MGR</v>
      </c>
      <c r="E126">
        <v>1.04</v>
      </c>
      <c r="J126" t="s">
        <v>787</v>
      </c>
      <c r="K126" s="6">
        <v>0</v>
      </c>
      <c r="L126" s="1">
        <v>0</v>
      </c>
      <c r="M126" s="1">
        <f t="shared" si="2"/>
        <v>0</v>
      </c>
      <c r="N126" s="62">
        <f t="shared" si="3"/>
        <v>0</v>
      </c>
    </row>
    <row r="127" spans="1:14" x14ac:dyDescent="0.25">
      <c r="A127" t="s">
        <v>788</v>
      </c>
      <c r="B127" t="s">
        <v>28</v>
      </c>
      <c r="C127" t="s">
        <v>559</v>
      </c>
      <c r="D127" t="str">
        <f>VLOOKUP(C127,'Staffing Cohorts'!F:H,3,FALSE)</f>
        <v>SUPV / MGR</v>
      </c>
      <c r="E127">
        <v>1.04</v>
      </c>
      <c r="J127" t="s">
        <v>574</v>
      </c>
      <c r="K127" s="6">
        <v>27700</v>
      </c>
      <c r="L127" s="1">
        <v>6.3400000000000007</v>
      </c>
      <c r="M127" s="1">
        <f t="shared" si="2"/>
        <v>1098.9333333333336</v>
      </c>
      <c r="N127" s="62">
        <f t="shared" si="3"/>
        <v>25.206260616355248</v>
      </c>
    </row>
    <row r="128" spans="1:14" x14ac:dyDescent="0.25">
      <c r="A128" t="s">
        <v>789</v>
      </c>
      <c r="B128" t="s">
        <v>28</v>
      </c>
      <c r="C128" t="s">
        <v>643</v>
      </c>
      <c r="D128" t="str">
        <f>VLOOKUP(C128,'Staffing Cohorts'!F:H,3,FALSE)</f>
        <v>SUPV / MGR</v>
      </c>
      <c r="E128">
        <v>1.02</v>
      </c>
      <c r="J128" t="s">
        <v>790</v>
      </c>
      <c r="K128" s="6">
        <v>8962</v>
      </c>
      <c r="L128" s="1">
        <v>2.0099999999999998</v>
      </c>
      <c r="M128" s="1">
        <f t="shared" si="2"/>
        <v>348.4</v>
      </c>
      <c r="N128" s="62">
        <f t="shared" si="3"/>
        <v>25.723306544202067</v>
      </c>
    </row>
    <row r="129" spans="1:14" x14ac:dyDescent="0.25">
      <c r="A129" t="s">
        <v>791</v>
      </c>
      <c r="B129" t="s">
        <v>28</v>
      </c>
      <c r="C129" t="s">
        <v>561</v>
      </c>
      <c r="D129" t="str">
        <f>VLOOKUP(C129,'Staffing Cohorts'!F:H,3,FALSE)</f>
        <v>RN</v>
      </c>
      <c r="E129">
        <v>1.3</v>
      </c>
      <c r="J129" t="s">
        <v>576</v>
      </c>
      <c r="K129" s="6">
        <v>836347</v>
      </c>
      <c r="L129" s="1">
        <v>194.60999999999984</v>
      </c>
      <c r="M129" s="1">
        <f t="shared" si="2"/>
        <v>33732.399999999972</v>
      </c>
      <c r="N129" s="62">
        <f t="shared" si="3"/>
        <v>24.79358124533092</v>
      </c>
    </row>
    <row r="130" spans="1:14" x14ac:dyDescent="0.25">
      <c r="A130" t="s">
        <v>792</v>
      </c>
      <c r="B130" t="s">
        <v>28</v>
      </c>
      <c r="C130" t="s">
        <v>713</v>
      </c>
      <c r="D130" t="str">
        <f>VLOOKUP(C130,'Staffing Cohorts'!F:H,3,FALSE)</f>
        <v>RN</v>
      </c>
      <c r="E130">
        <v>0.66</v>
      </c>
      <c r="J130" t="s">
        <v>578</v>
      </c>
      <c r="K130" s="6">
        <v>831476</v>
      </c>
      <c r="L130" s="1">
        <v>171.46999999999989</v>
      </c>
      <c r="M130" s="1">
        <f t="shared" si="2"/>
        <v>29721.466666666649</v>
      </c>
      <c r="N130" s="62">
        <f t="shared" si="3"/>
        <v>27.975604613500472</v>
      </c>
    </row>
    <row r="131" spans="1:14" x14ac:dyDescent="0.25">
      <c r="A131" t="s">
        <v>793</v>
      </c>
      <c r="B131" t="s">
        <v>28</v>
      </c>
      <c r="C131" t="s">
        <v>589</v>
      </c>
      <c r="D131" t="str">
        <f>VLOOKUP(C131,'Staffing Cohorts'!F:H,3,FALSE)</f>
        <v>MA</v>
      </c>
      <c r="E131">
        <v>2.6</v>
      </c>
      <c r="J131" t="s">
        <v>794</v>
      </c>
      <c r="K131" s="6">
        <v>0</v>
      </c>
      <c r="L131" s="1">
        <v>0</v>
      </c>
      <c r="M131" s="1">
        <f t="shared" ref="M131:M157" si="4">(2080/12)*L131</f>
        <v>0</v>
      </c>
      <c r="N131" s="62">
        <f t="shared" ref="N131:N157" si="5">IFERROR(K131/M131,0)</f>
        <v>0</v>
      </c>
    </row>
    <row r="132" spans="1:14" x14ac:dyDescent="0.25">
      <c r="A132" t="s">
        <v>795</v>
      </c>
      <c r="B132" t="s">
        <v>28</v>
      </c>
      <c r="C132" t="s">
        <v>567</v>
      </c>
      <c r="D132" t="str">
        <f>VLOOKUP(C132,'Staffing Cohorts'!F:H,3,FALSE)</f>
        <v>MA</v>
      </c>
      <c r="E132">
        <v>5</v>
      </c>
      <c r="J132" t="s">
        <v>796</v>
      </c>
      <c r="K132" s="6">
        <v>0</v>
      </c>
      <c r="L132" s="1">
        <v>0</v>
      </c>
      <c r="M132" s="1">
        <f t="shared" si="4"/>
        <v>0</v>
      </c>
      <c r="N132" s="62">
        <f t="shared" si="5"/>
        <v>0</v>
      </c>
    </row>
    <row r="133" spans="1:14" x14ac:dyDescent="0.25">
      <c r="A133" t="s">
        <v>797</v>
      </c>
      <c r="B133" t="s">
        <v>28</v>
      </c>
      <c r="C133" t="s">
        <v>592</v>
      </c>
      <c r="D133" t="str">
        <f>VLOOKUP(C133,'Staffing Cohorts'!F:H,3,FALSE)</f>
        <v>RN</v>
      </c>
      <c r="E133">
        <v>0.09</v>
      </c>
      <c r="J133" t="s">
        <v>798</v>
      </c>
      <c r="K133" s="6">
        <v>0</v>
      </c>
      <c r="L133" s="1">
        <v>0</v>
      </c>
      <c r="M133" s="1">
        <f t="shared" si="4"/>
        <v>0</v>
      </c>
      <c r="N133" s="62">
        <f t="shared" si="5"/>
        <v>0</v>
      </c>
    </row>
    <row r="134" spans="1:14" x14ac:dyDescent="0.25">
      <c r="A134" t="s">
        <v>799</v>
      </c>
      <c r="B134" t="s">
        <v>28</v>
      </c>
      <c r="C134" t="s">
        <v>569</v>
      </c>
      <c r="D134" t="str">
        <f>VLOOKUP(C134,'Staffing Cohorts'!F:H,3,FALSE)</f>
        <v>RN</v>
      </c>
      <c r="E134">
        <v>6.26</v>
      </c>
      <c r="J134" t="s">
        <v>335</v>
      </c>
      <c r="K134" s="6">
        <v>5390</v>
      </c>
      <c r="L134" s="1">
        <v>0.91</v>
      </c>
      <c r="M134" s="1">
        <f t="shared" si="4"/>
        <v>157.73333333333335</v>
      </c>
      <c r="N134" s="62">
        <f t="shared" si="5"/>
        <v>34.171597633136095</v>
      </c>
    </row>
    <row r="135" spans="1:14" x14ac:dyDescent="0.25">
      <c r="A135" t="s">
        <v>800</v>
      </c>
      <c r="B135" t="s">
        <v>28</v>
      </c>
      <c r="C135" t="s">
        <v>571</v>
      </c>
      <c r="D135" t="str">
        <f>VLOOKUP(C135,'Staffing Cohorts'!F:H,3,FALSE)</f>
        <v>RN</v>
      </c>
      <c r="E135">
        <v>4.0199999999999996</v>
      </c>
      <c r="J135" t="s">
        <v>801</v>
      </c>
      <c r="K135" s="6">
        <v>0</v>
      </c>
      <c r="L135" s="1">
        <v>0</v>
      </c>
      <c r="M135" s="1">
        <f t="shared" si="4"/>
        <v>0</v>
      </c>
      <c r="N135" s="62">
        <f t="shared" si="5"/>
        <v>0</v>
      </c>
    </row>
    <row r="136" spans="1:14" x14ac:dyDescent="0.25">
      <c r="A136" t="s">
        <v>802</v>
      </c>
      <c r="B136" t="s">
        <v>28</v>
      </c>
      <c r="C136" t="s">
        <v>576</v>
      </c>
      <c r="D136" t="str">
        <f>VLOOKUP(C136,'Staffing Cohorts'!F:H,3,FALSE)</f>
        <v>MOSC</v>
      </c>
      <c r="E136">
        <v>6.35</v>
      </c>
      <c r="J136" t="s">
        <v>803</v>
      </c>
      <c r="K136" s="6">
        <v>0</v>
      </c>
      <c r="L136" s="1">
        <v>0</v>
      </c>
      <c r="M136" s="1">
        <f t="shared" si="4"/>
        <v>0</v>
      </c>
      <c r="N136" s="62">
        <f t="shared" si="5"/>
        <v>0</v>
      </c>
    </row>
    <row r="137" spans="1:14" x14ac:dyDescent="0.25">
      <c r="A137" t="s">
        <v>804</v>
      </c>
      <c r="B137" t="s">
        <v>28</v>
      </c>
      <c r="C137" t="s">
        <v>578</v>
      </c>
      <c r="D137" t="str">
        <f>VLOOKUP(C137,'Staffing Cohorts'!F:H,3,FALSE)</f>
        <v>MOSC</v>
      </c>
      <c r="E137">
        <v>5.91</v>
      </c>
      <c r="J137" t="s">
        <v>329</v>
      </c>
      <c r="K137" s="6">
        <v>20348</v>
      </c>
      <c r="L137" s="1">
        <v>1.51</v>
      </c>
      <c r="M137" s="1">
        <f t="shared" si="4"/>
        <v>261.73333333333335</v>
      </c>
      <c r="N137" s="62">
        <f t="shared" si="5"/>
        <v>77.743250127356077</v>
      </c>
    </row>
    <row r="138" spans="1:14" x14ac:dyDescent="0.25">
      <c r="A138" t="s">
        <v>805</v>
      </c>
      <c r="B138" t="s">
        <v>28</v>
      </c>
      <c r="C138" t="s">
        <v>327</v>
      </c>
      <c r="D138" t="str">
        <f>VLOOKUP(C138,'Staffing Cohorts'!F:H,3,FALSE)</f>
        <v>Other</v>
      </c>
      <c r="E138">
        <v>0.8</v>
      </c>
      <c r="J138" t="s">
        <v>806</v>
      </c>
      <c r="K138" s="6">
        <v>0</v>
      </c>
      <c r="L138" s="1">
        <v>0</v>
      </c>
      <c r="M138" s="1">
        <f t="shared" si="4"/>
        <v>0</v>
      </c>
      <c r="N138" s="62">
        <f t="shared" si="5"/>
        <v>0</v>
      </c>
    </row>
    <row r="139" spans="1:14" x14ac:dyDescent="0.25">
      <c r="A139" t="s">
        <v>807</v>
      </c>
      <c r="B139" t="s">
        <v>30</v>
      </c>
      <c r="C139" t="s">
        <v>555</v>
      </c>
      <c r="D139" t="str">
        <f>VLOOKUP(C139,'Staffing Cohorts'!F:H,3,FALSE)</f>
        <v>SUPV / MGR</v>
      </c>
      <c r="E139">
        <v>1</v>
      </c>
      <c r="J139" t="s">
        <v>808</v>
      </c>
      <c r="K139" s="6">
        <v>43272</v>
      </c>
      <c r="L139" s="1">
        <v>10.44</v>
      </c>
      <c r="M139" s="1">
        <f t="shared" si="4"/>
        <v>1809.6</v>
      </c>
      <c r="N139" s="62">
        <f t="shared" si="5"/>
        <v>23.912466843501328</v>
      </c>
    </row>
    <row r="140" spans="1:14" x14ac:dyDescent="0.25">
      <c r="A140" t="s">
        <v>809</v>
      </c>
      <c r="B140" t="s">
        <v>30</v>
      </c>
      <c r="C140" t="s">
        <v>324</v>
      </c>
      <c r="D140" t="str">
        <f>VLOOKUP(C140,'Staffing Cohorts'!F:H,3,FALSE)</f>
        <v>Other</v>
      </c>
      <c r="E140">
        <v>1</v>
      </c>
      <c r="J140" t="s">
        <v>810</v>
      </c>
      <c r="K140" s="6">
        <v>0</v>
      </c>
      <c r="L140" s="1">
        <v>0</v>
      </c>
      <c r="M140" s="1">
        <f t="shared" si="4"/>
        <v>0</v>
      </c>
      <c r="N140" s="62">
        <f t="shared" si="5"/>
        <v>0</v>
      </c>
    </row>
    <row r="141" spans="1:14" x14ac:dyDescent="0.25">
      <c r="A141" t="s">
        <v>811</v>
      </c>
      <c r="B141" t="s">
        <v>30</v>
      </c>
      <c r="C141" t="s">
        <v>322</v>
      </c>
      <c r="D141" t="str">
        <f>VLOOKUP(C141,'Staffing Cohorts'!F:H,3,FALSE)</f>
        <v>Other</v>
      </c>
      <c r="E141">
        <v>1</v>
      </c>
      <c r="J141" t="s">
        <v>812</v>
      </c>
      <c r="K141" s="6">
        <v>0</v>
      </c>
      <c r="L141" s="1">
        <v>0</v>
      </c>
      <c r="M141" s="1">
        <f t="shared" si="4"/>
        <v>0</v>
      </c>
      <c r="N141" s="62">
        <f t="shared" si="5"/>
        <v>0</v>
      </c>
    </row>
    <row r="142" spans="1:14" x14ac:dyDescent="0.25">
      <c r="A142" t="s">
        <v>813</v>
      </c>
      <c r="B142" t="s">
        <v>30</v>
      </c>
      <c r="C142" t="s">
        <v>557</v>
      </c>
      <c r="D142" t="str">
        <f>VLOOKUP(C142,'Staffing Cohorts'!F:H,3,FALSE)</f>
        <v>SUPV / MGR</v>
      </c>
      <c r="E142">
        <v>0.04</v>
      </c>
      <c r="J142" t="s">
        <v>331</v>
      </c>
      <c r="K142" s="6">
        <v>27383</v>
      </c>
      <c r="L142" s="1">
        <v>4.9799999999999995</v>
      </c>
      <c r="M142" s="1">
        <f t="shared" si="4"/>
        <v>863.19999999999993</v>
      </c>
      <c r="N142" s="62">
        <f t="shared" si="5"/>
        <v>31.722659870250233</v>
      </c>
    </row>
    <row r="143" spans="1:14" x14ac:dyDescent="0.25">
      <c r="A143" t="s">
        <v>814</v>
      </c>
      <c r="B143" t="s">
        <v>30</v>
      </c>
      <c r="C143" t="s">
        <v>633</v>
      </c>
      <c r="D143" t="str">
        <f>VLOOKUP(C143,'Staffing Cohorts'!F:H,3,FALSE)</f>
        <v>SUPV / MGR</v>
      </c>
      <c r="E143">
        <v>0.93</v>
      </c>
      <c r="J143" t="s">
        <v>815</v>
      </c>
      <c r="K143" s="6">
        <v>0</v>
      </c>
      <c r="L143" s="1">
        <v>0</v>
      </c>
      <c r="M143" s="1">
        <f t="shared" si="4"/>
        <v>0</v>
      </c>
      <c r="N143" s="62">
        <f t="shared" si="5"/>
        <v>0</v>
      </c>
    </row>
    <row r="144" spans="1:14" x14ac:dyDescent="0.25">
      <c r="A144" t="s">
        <v>816</v>
      </c>
      <c r="B144" t="s">
        <v>30</v>
      </c>
      <c r="C144" t="s">
        <v>325</v>
      </c>
      <c r="D144" t="str">
        <f>VLOOKUP(C144,'Staffing Cohorts'!F:H,3,FALSE)</f>
        <v>Other</v>
      </c>
      <c r="E144">
        <v>1.02</v>
      </c>
      <c r="J144" t="s">
        <v>330</v>
      </c>
      <c r="K144" s="6">
        <v>1810</v>
      </c>
      <c r="L144" s="1">
        <v>0.37</v>
      </c>
      <c r="M144" s="1">
        <f t="shared" si="4"/>
        <v>64.13333333333334</v>
      </c>
      <c r="N144" s="62">
        <f t="shared" si="5"/>
        <v>28.222453222453218</v>
      </c>
    </row>
    <row r="145" spans="1:14" x14ac:dyDescent="0.25">
      <c r="A145" t="s">
        <v>817</v>
      </c>
      <c r="B145" t="s">
        <v>30</v>
      </c>
      <c r="C145" t="s">
        <v>561</v>
      </c>
      <c r="D145" t="str">
        <f>VLOOKUP(C145,'Staffing Cohorts'!F:H,3,FALSE)</f>
        <v>RN</v>
      </c>
      <c r="E145">
        <v>1.77</v>
      </c>
      <c r="J145" t="s">
        <v>818</v>
      </c>
      <c r="K145" s="6">
        <v>85434</v>
      </c>
      <c r="L145" s="1">
        <v>16.22</v>
      </c>
      <c r="M145" s="1">
        <f t="shared" si="4"/>
        <v>2811.4666666666667</v>
      </c>
      <c r="N145" s="62">
        <f t="shared" si="5"/>
        <v>30.387697998672106</v>
      </c>
    </row>
    <row r="146" spans="1:14" x14ac:dyDescent="0.25">
      <c r="A146" t="s">
        <v>819</v>
      </c>
      <c r="B146" t="s">
        <v>30</v>
      </c>
      <c r="C146" t="s">
        <v>565</v>
      </c>
      <c r="D146" t="str">
        <f>VLOOKUP(C146,'Staffing Cohorts'!F:H,3,FALSE)</f>
        <v>MA</v>
      </c>
      <c r="E146">
        <v>0.01</v>
      </c>
      <c r="J146" t="s">
        <v>820</v>
      </c>
      <c r="K146" s="6">
        <v>1463</v>
      </c>
      <c r="L146" s="1">
        <v>0.28000000000000003</v>
      </c>
      <c r="M146" s="1">
        <f t="shared" si="4"/>
        <v>48.533333333333339</v>
      </c>
      <c r="N146" s="62">
        <f t="shared" si="5"/>
        <v>30.144230769230766</v>
      </c>
    </row>
    <row r="147" spans="1:14" x14ac:dyDescent="0.25">
      <c r="A147" t="s">
        <v>821</v>
      </c>
      <c r="B147" t="s">
        <v>30</v>
      </c>
      <c r="C147" t="s">
        <v>567</v>
      </c>
      <c r="D147" t="str">
        <f>VLOOKUP(C147,'Staffing Cohorts'!F:H,3,FALSE)</f>
        <v>MA</v>
      </c>
      <c r="E147">
        <v>0.99</v>
      </c>
      <c r="J147" t="s">
        <v>327</v>
      </c>
      <c r="K147" s="6">
        <v>54954</v>
      </c>
      <c r="L147" s="1">
        <v>6.7</v>
      </c>
      <c r="M147" s="1">
        <f t="shared" si="4"/>
        <v>1161.3333333333335</v>
      </c>
      <c r="N147" s="62">
        <f t="shared" si="5"/>
        <v>47.319747416762333</v>
      </c>
    </row>
    <row r="148" spans="1:14" x14ac:dyDescent="0.25">
      <c r="A148" t="s">
        <v>822</v>
      </c>
      <c r="B148" t="s">
        <v>30</v>
      </c>
      <c r="C148" t="s">
        <v>592</v>
      </c>
      <c r="D148" t="str">
        <f>VLOOKUP(C148,'Staffing Cohorts'!F:H,3,FALSE)</f>
        <v>RN</v>
      </c>
      <c r="E148">
        <v>0.72</v>
      </c>
      <c r="J148" t="s">
        <v>823</v>
      </c>
      <c r="K148" s="6">
        <v>3991</v>
      </c>
      <c r="L148" s="1">
        <v>0.42</v>
      </c>
      <c r="M148" s="1">
        <f t="shared" si="4"/>
        <v>72.8</v>
      </c>
      <c r="N148" s="62">
        <f t="shared" si="5"/>
        <v>54.821428571428577</v>
      </c>
    </row>
    <row r="149" spans="1:14" x14ac:dyDescent="0.25">
      <c r="A149" t="s">
        <v>824</v>
      </c>
      <c r="B149" t="s">
        <v>30</v>
      </c>
      <c r="C149" t="s">
        <v>569</v>
      </c>
      <c r="D149" t="str">
        <f>VLOOKUP(C149,'Staffing Cohorts'!F:H,3,FALSE)</f>
        <v>RN</v>
      </c>
      <c r="E149">
        <v>1.02</v>
      </c>
      <c r="J149" t="s">
        <v>326</v>
      </c>
      <c r="K149" s="6">
        <v>7512</v>
      </c>
      <c r="L149" s="1">
        <v>0.7</v>
      </c>
      <c r="M149" s="1">
        <f t="shared" si="4"/>
        <v>121.33333333333333</v>
      </c>
      <c r="N149" s="62">
        <f t="shared" si="5"/>
        <v>61.912087912087912</v>
      </c>
    </row>
    <row r="150" spans="1:14" x14ac:dyDescent="0.25">
      <c r="A150" t="s">
        <v>825</v>
      </c>
      <c r="B150" t="s">
        <v>30</v>
      </c>
      <c r="C150" t="s">
        <v>571</v>
      </c>
      <c r="D150" t="str">
        <f>VLOOKUP(C150,'Staffing Cohorts'!F:H,3,FALSE)</f>
        <v>RN</v>
      </c>
      <c r="E150">
        <v>2</v>
      </c>
      <c r="J150" t="s">
        <v>826</v>
      </c>
      <c r="K150" s="6">
        <v>5243</v>
      </c>
      <c r="L150" s="1">
        <v>0.91</v>
      </c>
      <c r="M150" s="1">
        <f t="shared" si="4"/>
        <v>157.73333333333335</v>
      </c>
      <c r="N150" s="62">
        <f t="shared" si="5"/>
        <v>33.239644970414197</v>
      </c>
    </row>
    <row r="151" spans="1:14" x14ac:dyDescent="0.25">
      <c r="A151" t="s">
        <v>827</v>
      </c>
      <c r="B151" t="s">
        <v>30</v>
      </c>
      <c r="C151" t="s">
        <v>574</v>
      </c>
      <c r="D151" t="str">
        <f>VLOOKUP(C151,'Staffing Cohorts'!F:H,3,FALSE)</f>
        <v>MOSC</v>
      </c>
      <c r="E151">
        <v>0.09</v>
      </c>
      <c r="J151" t="s">
        <v>828</v>
      </c>
      <c r="K151" s="6">
        <v>23272</v>
      </c>
      <c r="L151" s="1">
        <v>4.6100000000000003</v>
      </c>
      <c r="M151" s="1">
        <f t="shared" si="4"/>
        <v>799.06666666666672</v>
      </c>
      <c r="N151" s="62">
        <f t="shared" si="5"/>
        <v>29.123977974303351</v>
      </c>
    </row>
    <row r="152" spans="1:14" x14ac:dyDescent="0.25">
      <c r="A152" t="s">
        <v>829</v>
      </c>
      <c r="B152" t="s">
        <v>30</v>
      </c>
      <c r="C152" t="s">
        <v>576</v>
      </c>
      <c r="D152" t="str">
        <f>VLOOKUP(C152,'Staffing Cohorts'!F:H,3,FALSE)</f>
        <v>MOSC</v>
      </c>
      <c r="E152">
        <v>4.7</v>
      </c>
      <c r="J152" t="s">
        <v>830</v>
      </c>
      <c r="K152" s="6">
        <v>0</v>
      </c>
      <c r="L152" s="1">
        <v>0</v>
      </c>
      <c r="M152" s="1">
        <f t="shared" si="4"/>
        <v>0</v>
      </c>
      <c r="N152" s="62">
        <f t="shared" si="5"/>
        <v>0</v>
      </c>
    </row>
    <row r="153" spans="1:14" x14ac:dyDescent="0.25">
      <c r="A153" t="s">
        <v>831</v>
      </c>
      <c r="B153" t="s">
        <v>30</v>
      </c>
      <c r="C153" t="s">
        <v>578</v>
      </c>
      <c r="D153" t="str">
        <f>VLOOKUP(C153,'Staffing Cohorts'!F:H,3,FALSE)</f>
        <v>MOSC</v>
      </c>
      <c r="E153">
        <v>8.6</v>
      </c>
      <c r="J153" t="s">
        <v>336</v>
      </c>
      <c r="K153" s="6">
        <v>9835</v>
      </c>
      <c r="L153" s="1">
        <v>1</v>
      </c>
      <c r="M153" s="1">
        <f t="shared" si="4"/>
        <v>173.33333333333334</v>
      </c>
      <c r="N153" s="62">
        <f t="shared" si="5"/>
        <v>56.740384615384613</v>
      </c>
    </row>
    <row r="154" spans="1:14" x14ac:dyDescent="0.25">
      <c r="A154" t="s">
        <v>832</v>
      </c>
      <c r="B154" t="s">
        <v>30</v>
      </c>
      <c r="C154" t="s">
        <v>326</v>
      </c>
      <c r="D154" t="str">
        <f>VLOOKUP(C154,'Staffing Cohorts'!F:H,3,FALSE)</f>
        <v>Other</v>
      </c>
      <c r="E154">
        <v>0.4</v>
      </c>
      <c r="J154" t="s">
        <v>833</v>
      </c>
      <c r="K154" s="6">
        <v>0</v>
      </c>
      <c r="L154" s="1">
        <v>0</v>
      </c>
      <c r="M154" s="1">
        <f t="shared" si="4"/>
        <v>0</v>
      </c>
      <c r="N154" s="62">
        <f t="shared" si="5"/>
        <v>0</v>
      </c>
    </row>
    <row r="155" spans="1:14" x14ac:dyDescent="0.25">
      <c r="A155" t="s">
        <v>834</v>
      </c>
      <c r="B155" t="s">
        <v>32</v>
      </c>
      <c r="C155" t="s">
        <v>587</v>
      </c>
      <c r="D155" t="str">
        <f>VLOOKUP(C155,'Staffing Cohorts'!F:H,3,FALSE)</f>
        <v>SUPV / MGR</v>
      </c>
      <c r="E155">
        <v>1.08</v>
      </c>
      <c r="J155" t="s">
        <v>835</v>
      </c>
      <c r="K155" s="6">
        <v>0</v>
      </c>
      <c r="L155" s="1">
        <v>0</v>
      </c>
      <c r="M155" s="1">
        <f t="shared" si="4"/>
        <v>0</v>
      </c>
      <c r="N155" s="62">
        <f t="shared" si="5"/>
        <v>0</v>
      </c>
    </row>
    <row r="156" spans="1:14" x14ac:dyDescent="0.25">
      <c r="A156" t="s">
        <v>836</v>
      </c>
      <c r="B156" t="s">
        <v>32</v>
      </c>
      <c r="C156" t="s">
        <v>633</v>
      </c>
      <c r="D156" t="str">
        <f>VLOOKUP(C156,'Staffing Cohorts'!F:H,3,FALSE)</f>
        <v>SUPV / MGR</v>
      </c>
      <c r="E156">
        <v>1.04</v>
      </c>
      <c r="J156" t="s">
        <v>728</v>
      </c>
      <c r="K156" s="6">
        <v>11116</v>
      </c>
      <c r="L156" s="1">
        <v>1.1200000000000001</v>
      </c>
      <c r="M156" s="1">
        <f t="shared" si="4"/>
        <v>194.13333333333335</v>
      </c>
      <c r="N156" s="62">
        <f t="shared" si="5"/>
        <v>57.25961538461538</v>
      </c>
    </row>
    <row r="157" spans="1:14" x14ac:dyDescent="0.25">
      <c r="A157" t="s">
        <v>837</v>
      </c>
      <c r="B157" t="s">
        <v>32</v>
      </c>
      <c r="C157" t="s">
        <v>325</v>
      </c>
      <c r="D157" t="str">
        <f>VLOOKUP(C157,'Staffing Cohorts'!F:H,3,FALSE)</f>
        <v>Other</v>
      </c>
      <c r="E157">
        <v>1</v>
      </c>
      <c r="J157" t="s">
        <v>838</v>
      </c>
      <c r="K157" s="6">
        <v>0</v>
      </c>
      <c r="L157" s="1">
        <v>0</v>
      </c>
      <c r="M157" s="1">
        <f t="shared" si="4"/>
        <v>0</v>
      </c>
      <c r="N157" s="62">
        <f t="shared" si="5"/>
        <v>0</v>
      </c>
    </row>
    <row r="158" spans="1:14" x14ac:dyDescent="0.25">
      <c r="A158" t="s">
        <v>839</v>
      </c>
      <c r="B158" t="s">
        <v>32</v>
      </c>
      <c r="C158" t="s">
        <v>561</v>
      </c>
      <c r="D158" t="str">
        <f>VLOOKUP(C158,'Staffing Cohorts'!F:H,3,FALSE)</f>
        <v>RN</v>
      </c>
      <c r="E158">
        <v>5.54</v>
      </c>
    </row>
    <row r="159" spans="1:14" x14ac:dyDescent="0.25">
      <c r="A159" t="s">
        <v>840</v>
      </c>
      <c r="B159" t="s">
        <v>32</v>
      </c>
      <c r="C159" t="s">
        <v>713</v>
      </c>
      <c r="D159" t="str">
        <f>VLOOKUP(C159,'Staffing Cohorts'!F:H,3,FALSE)</f>
        <v>RN</v>
      </c>
      <c r="E159">
        <v>0.77</v>
      </c>
    </row>
    <row r="160" spans="1:14" x14ac:dyDescent="0.25">
      <c r="A160" t="s">
        <v>841</v>
      </c>
      <c r="B160" t="s">
        <v>32</v>
      </c>
      <c r="C160" t="s">
        <v>565</v>
      </c>
      <c r="D160" t="str">
        <f>VLOOKUP(C160,'Staffing Cohorts'!F:H,3,FALSE)</f>
        <v>MA</v>
      </c>
      <c r="E160">
        <v>0.34</v>
      </c>
    </row>
    <row r="161" spans="1:5" x14ac:dyDescent="0.25">
      <c r="A161" t="s">
        <v>842</v>
      </c>
      <c r="B161" t="s">
        <v>32</v>
      </c>
      <c r="C161" t="s">
        <v>567</v>
      </c>
      <c r="D161" t="str">
        <f>VLOOKUP(C161,'Staffing Cohorts'!F:H,3,FALSE)</f>
        <v>MA</v>
      </c>
      <c r="E161">
        <v>1.3</v>
      </c>
    </row>
    <row r="162" spans="1:5" x14ac:dyDescent="0.25">
      <c r="A162" t="s">
        <v>843</v>
      </c>
      <c r="B162" t="s">
        <v>32</v>
      </c>
      <c r="C162" t="s">
        <v>571</v>
      </c>
      <c r="D162" t="str">
        <f>VLOOKUP(C162,'Staffing Cohorts'!F:H,3,FALSE)</f>
        <v>RN</v>
      </c>
      <c r="E162">
        <v>1</v>
      </c>
    </row>
    <row r="163" spans="1:5" x14ac:dyDescent="0.25">
      <c r="A163" t="s">
        <v>844</v>
      </c>
      <c r="B163" t="s">
        <v>32</v>
      </c>
      <c r="C163" t="s">
        <v>574</v>
      </c>
      <c r="D163" t="str">
        <f>VLOOKUP(C163,'Staffing Cohorts'!F:H,3,FALSE)</f>
        <v>MOSC</v>
      </c>
      <c r="E163">
        <v>0.09</v>
      </c>
    </row>
    <row r="164" spans="1:5" x14ac:dyDescent="0.25">
      <c r="A164" t="s">
        <v>845</v>
      </c>
      <c r="B164" t="s">
        <v>32</v>
      </c>
      <c r="C164" t="s">
        <v>576</v>
      </c>
      <c r="D164" t="str">
        <f>VLOOKUP(C164,'Staffing Cohorts'!F:H,3,FALSE)</f>
        <v>MOSC</v>
      </c>
      <c r="E164">
        <v>4.78</v>
      </c>
    </row>
    <row r="165" spans="1:5" x14ac:dyDescent="0.25">
      <c r="A165" t="s">
        <v>846</v>
      </c>
      <c r="B165" t="s">
        <v>32</v>
      </c>
      <c r="C165" t="s">
        <v>578</v>
      </c>
      <c r="D165" t="str">
        <f>VLOOKUP(C165,'Staffing Cohorts'!F:H,3,FALSE)</f>
        <v>MOSC</v>
      </c>
      <c r="E165">
        <v>2</v>
      </c>
    </row>
    <row r="166" spans="1:5" x14ac:dyDescent="0.25">
      <c r="A166" t="s">
        <v>847</v>
      </c>
      <c r="B166" t="s">
        <v>392</v>
      </c>
      <c r="C166" t="s">
        <v>555</v>
      </c>
      <c r="D166" t="str">
        <f>VLOOKUP(C166,'Staffing Cohorts'!F:H,3,FALSE)</f>
        <v>SUPV / MGR</v>
      </c>
      <c r="E166">
        <v>0.74</v>
      </c>
    </row>
    <row r="167" spans="1:5" x14ac:dyDescent="0.25">
      <c r="A167" t="s">
        <v>848</v>
      </c>
      <c r="B167" t="s">
        <v>392</v>
      </c>
      <c r="C167" t="s">
        <v>577</v>
      </c>
      <c r="D167" t="str">
        <f>VLOOKUP(C167,'Staffing Cohorts'!F:H,3,FALSE)</f>
        <v>SUPV / MGR</v>
      </c>
      <c r="E167">
        <v>0.5</v>
      </c>
    </row>
    <row r="168" spans="1:5" x14ac:dyDescent="0.25">
      <c r="A168" t="s">
        <v>849</v>
      </c>
      <c r="B168" t="s">
        <v>392</v>
      </c>
      <c r="C168" t="s">
        <v>633</v>
      </c>
      <c r="D168" t="str">
        <f>VLOOKUP(C168,'Staffing Cohorts'!F:H,3,FALSE)</f>
        <v>SUPV / MGR</v>
      </c>
      <c r="E168">
        <v>0.52</v>
      </c>
    </row>
    <row r="169" spans="1:5" x14ac:dyDescent="0.25">
      <c r="A169" t="s">
        <v>850</v>
      </c>
      <c r="B169" t="s">
        <v>392</v>
      </c>
      <c r="C169" t="s">
        <v>559</v>
      </c>
      <c r="D169" t="str">
        <f>VLOOKUP(C169,'Staffing Cohorts'!F:H,3,FALSE)</f>
        <v>SUPV / MGR</v>
      </c>
      <c r="E169">
        <v>0.52</v>
      </c>
    </row>
    <row r="170" spans="1:5" x14ac:dyDescent="0.25">
      <c r="A170" t="s">
        <v>851</v>
      </c>
      <c r="B170" t="s">
        <v>392</v>
      </c>
      <c r="C170" t="s">
        <v>561</v>
      </c>
      <c r="D170" t="str">
        <f>VLOOKUP(C170,'Staffing Cohorts'!F:H,3,FALSE)</f>
        <v>RN</v>
      </c>
      <c r="E170">
        <v>1.02</v>
      </c>
    </row>
    <row r="171" spans="1:5" x14ac:dyDescent="0.25">
      <c r="A171" t="s">
        <v>852</v>
      </c>
      <c r="B171" t="s">
        <v>392</v>
      </c>
      <c r="C171" t="s">
        <v>567</v>
      </c>
      <c r="D171" t="str">
        <f>VLOOKUP(C171,'Staffing Cohorts'!F:H,3,FALSE)</f>
        <v>MA</v>
      </c>
      <c r="E171">
        <v>3.25</v>
      </c>
    </row>
    <row r="172" spans="1:5" x14ac:dyDescent="0.25">
      <c r="A172" t="s">
        <v>853</v>
      </c>
      <c r="B172" t="s">
        <v>392</v>
      </c>
      <c r="C172" t="s">
        <v>569</v>
      </c>
      <c r="D172" t="str">
        <f>VLOOKUP(C172,'Staffing Cohorts'!F:H,3,FALSE)</f>
        <v>RN</v>
      </c>
      <c r="E172">
        <v>0.78</v>
      </c>
    </row>
    <row r="173" spans="1:5" x14ac:dyDescent="0.25">
      <c r="A173" t="s">
        <v>854</v>
      </c>
      <c r="B173" t="s">
        <v>392</v>
      </c>
      <c r="C173" t="s">
        <v>576</v>
      </c>
      <c r="D173" t="str">
        <f>VLOOKUP(C173,'Staffing Cohorts'!F:H,3,FALSE)</f>
        <v>MOSC</v>
      </c>
      <c r="E173">
        <v>2.92</v>
      </c>
    </row>
    <row r="174" spans="1:5" x14ac:dyDescent="0.25">
      <c r="A174" t="s">
        <v>855</v>
      </c>
      <c r="B174" t="s">
        <v>392</v>
      </c>
      <c r="C174" t="s">
        <v>578</v>
      </c>
      <c r="D174" t="str">
        <f>VLOOKUP(C174,'Staffing Cohorts'!F:H,3,FALSE)</f>
        <v>MOSC</v>
      </c>
      <c r="E174">
        <v>0.91</v>
      </c>
    </row>
    <row r="175" spans="1:5" x14ac:dyDescent="0.25">
      <c r="A175" t="s">
        <v>856</v>
      </c>
      <c r="B175" t="s">
        <v>17</v>
      </c>
      <c r="C175" t="s">
        <v>555</v>
      </c>
      <c r="D175" t="str">
        <f>VLOOKUP(C175,'Staffing Cohorts'!F:H,3,FALSE)</f>
        <v>SUPV / MGR</v>
      </c>
      <c r="E175">
        <v>1</v>
      </c>
    </row>
    <row r="176" spans="1:5" x14ac:dyDescent="0.25">
      <c r="A176" t="s">
        <v>857</v>
      </c>
      <c r="B176" t="s">
        <v>17</v>
      </c>
      <c r="C176" t="s">
        <v>322</v>
      </c>
      <c r="D176" t="str">
        <f>VLOOKUP(C176,'Staffing Cohorts'!F:H,3,FALSE)</f>
        <v>Other</v>
      </c>
      <c r="E176">
        <v>0.1</v>
      </c>
    </row>
    <row r="177" spans="1:5" x14ac:dyDescent="0.25">
      <c r="A177" t="s">
        <v>858</v>
      </c>
      <c r="B177" t="s">
        <v>17</v>
      </c>
      <c r="C177" t="s">
        <v>557</v>
      </c>
      <c r="D177" t="str">
        <f>VLOOKUP(C177,'Staffing Cohorts'!F:H,3,FALSE)</f>
        <v>SUPV / MGR</v>
      </c>
      <c r="E177">
        <v>0.05</v>
      </c>
    </row>
    <row r="178" spans="1:5" x14ac:dyDescent="0.25">
      <c r="A178" t="s">
        <v>859</v>
      </c>
      <c r="B178" t="s">
        <v>17</v>
      </c>
      <c r="C178" t="s">
        <v>559</v>
      </c>
      <c r="D178" t="str">
        <f>VLOOKUP(C178,'Staffing Cohorts'!F:H,3,FALSE)</f>
        <v>SUPV / MGR</v>
      </c>
      <c r="E178">
        <v>0.78</v>
      </c>
    </row>
    <row r="179" spans="1:5" x14ac:dyDescent="0.25">
      <c r="A179" t="s">
        <v>860</v>
      </c>
      <c r="B179" t="s">
        <v>17</v>
      </c>
      <c r="C179" t="s">
        <v>561</v>
      </c>
      <c r="D179" t="str">
        <f>VLOOKUP(C179,'Staffing Cohorts'!F:H,3,FALSE)</f>
        <v>RN</v>
      </c>
      <c r="E179">
        <v>0.91</v>
      </c>
    </row>
    <row r="180" spans="1:5" x14ac:dyDescent="0.25">
      <c r="A180" t="s">
        <v>861</v>
      </c>
      <c r="B180" t="s">
        <v>17</v>
      </c>
      <c r="C180" t="s">
        <v>722</v>
      </c>
      <c r="D180" t="str">
        <f>VLOOKUP(C180,'Staffing Cohorts'!F:H,3,FALSE)</f>
        <v>Lab</v>
      </c>
      <c r="E180">
        <v>3.58</v>
      </c>
    </row>
    <row r="181" spans="1:5" x14ac:dyDescent="0.25">
      <c r="A181" t="s">
        <v>862</v>
      </c>
      <c r="B181" t="s">
        <v>17</v>
      </c>
      <c r="C181" t="s">
        <v>565</v>
      </c>
      <c r="D181" t="str">
        <f>VLOOKUP(C181,'Staffing Cohorts'!F:H,3,FALSE)</f>
        <v>MA</v>
      </c>
      <c r="E181">
        <v>0.01</v>
      </c>
    </row>
    <row r="182" spans="1:5" x14ac:dyDescent="0.25">
      <c r="A182" t="s">
        <v>863</v>
      </c>
      <c r="B182" t="s">
        <v>17</v>
      </c>
      <c r="C182" t="s">
        <v>589</v>
      </c>
      <c r="D182" t="str">
        <f>VLOOKUP(C182,'Staffing Cohorts'!F:H,3,FALSE)</f>
        <v>MA</v>
      </c>
      <c r="E182">
        <v>3.7199999999999998</v>
      </c>
    </row>
    <row r="183" spans="1:5" x14ac:dyDescent="0.25">
      <c r="A183" t="s">
        <v>864</v>
      </c>
      <c r="B183" t="s">
        <v>17</v>
      </c>
      <c r="C183" t="s">
        <v>567</v>
      </c>
      <c r="D183" t="str">
        <f>VLOOKUP(C183,'Staffing Cohorts'!F:H,3,FALSE)</f>
        <v>MA</v>
      </c>
      <c r="E183">
        <v>0.11</v>
      </c>
    </row>
    <row r="184" spans="1:5" x14ac:dyDescent="0.25">
      <c r="A184" t="s">
        <v>865</v>
      </c>
      <c r="B184" t="s">
        <v>17</v>
      </c>
      <c r="C184" t="s">
        <v>592</v>
      </c>
      <c r="D184" t="str">
        <f>VLOOKUP(C184,'Staffing Cohorts'!F:H,3,FALSE)</f>
        <v>RN</v>
      </c>
      <c r="E184">
        <v>0.09</v>
      </c>
    </row>
    <row r="185" spans="1:5" x14ac:dyDescent="0.25">
      <c r="A185" t="s">
        <v>866</v>
      </c>
      <c r="B185" t="s">
        <v>17</v>
      </c>
      <c r="C185" t="s">
        <v>569</v>
      </c>
      <c r="D185" t="str">
        <f>VLOOKUP(C185,'Staffing Cohorts'!F:H,3,FALSE)</f>
        <v>RN</v>
      </c>
      <c r="E185">
        <v>1.9100000000000001</v>
      </c>
    </row>
    <row r="186" spans="1:5" x14ac:dyDescent="0.25">
      <c r="A186" t="s">
        <v>867</v>
      </c>
      <c r="B186" t="s">
        <v>17</v>
      </c>
      <c r="C186" t="s">
        <v>571</v>
      </c>
      <c r="D186" t="str">
        <f>VLOOKUP(C186,'Staffing Cohorts'!F:H,3,FALSE)</f>
        <v>RN</v>
      </c>
      <c r="E186">
        <v>4.51</v>
      </c>
    </row>
    <row r="187" spans="1:5" x14ac:dyDescent="0.25">
      <c r="A187" t="s">
        <v>868</v>
      </c>
      <c r="B187" t="s">
        <v>17</v>
      </c>
      <c r="C187" t="s">
        <v>572</v>
      </c>
      <c r="D187" t="str">
        <f>VLOOKUP(C187,'Staffing Cohorts'!F:H,3,FALSE)</f>
        <v>RN</v>
      </c>
      <c r="E187">
        <v>0.76</v>
      </c>
    </row>
    <row r="188" spans="1:5" x14ac:dyDescent="0.25">
      <c r="A188" t="s">
        <v>869</v>
      </c>
      <c r="B188" t="s">
        <v>17</v>
      </c>
      <c r="C188" t="s">
        <v>780</v>
      </c>
      <c r="D188" t="str">
        <f>VLOOKUP(C188,'Staffing Cohorts'!F:H,3,FALSE)</f>
        <v>RN</v>
      </c>
      <c r="E188">
        <v>1.03</v>
      </c>
    </row>
    <row r="189" spans="1:5" x14ac:dyDescent="0.25">
      <c r="A189" t="s">
        <v>870</v>
      </c>
      <c r="B189" t="s">
        <v>17</v>
      </c>
      <c r="C189" t="s">
        <v>576</v>
      </c>
      <c r="D189" t="str">
        <f>VLOOKUP(C189,'Staffing Cohorts'!F:H,3,FALSE)</f>
        <v>MOSC</v>
      </c>
      <c r="E189">
        <v>4.7699999999999996</v>
      </c>
    </row>
    <row r="190" spans="1:5" x14ac:dyDescent="0.25">
      <c r="A190" t="s">
        <v>871</v>
      </c>
      <c r="B190" t="s">
        <v>17</v>
      </c>
      <c r="C190" t="s">
        <v>578</v>
      </c>
      <c r="D190" t="str">
        <f>VLOOKUP(C190,'Staffing Cohorts'!F:H,3,FALSE)</f>
        <v>MOSC</v>
      </c>
      <c r="E190">
        <v>4.91</v>
      </c>
    </row>
    <row r="191" spans="1:5" x14ac:dyDescent="0.25">
      <c r="A191" t="s">
        <v>872</v>
      </c>
      <c r="B191" t="s">
        <v>328</v>
      </c>
      <c r="C191" t="s">
        <v>618</v>
      </c>
      <c r="D191" t="str">
        <f>VLOOKUP(C191,'Staffing Cohorts'!F:H,3,FALSE)</f>
        <v>MA</v>
      </c>
      <c r="E191">
        <v>2</v>
      </c>
    </row>
    <row r="192" spans="1:5" x14ac:dyDescent="0.25">
      <c r="A192" t="s">
        <v>873</v>
      </c>
      <c r="B192" t="s">
        <v>328</v>
      </c>
      <c r="C192" t="s">
        <v>559</v>
      </c>
      <c r="D192" t="str">
        <f>VLOOKUP(C192,'Staffing Cohorts'!F:H,3,FALSE)</f>
        <v>SUPV / MGR</v>
      </c>
      <c r="E192">
        <v>0.16</v>
      </c>
    </row>
    <row r="193" spans="1:5" x14ac:dyDescent="0.25">
      <c r="A193" t="s">
        <v>874</v>
      </c>
      <c r="B193" t="s">
        <v>328</v>
      </c>
      <c r="C193" t="s">
        <v>647</v>
      </c>
      <c r="D193" t="str">
        <f>VLOOKUP(C193,'Staffing Cohorts'!F:H,3,FALSE)</f>
        <v>SUPV / MGR</v>
      </c>
      <c r="E193">
        <v>1.04</v>
      </c>
    </row>
    <row r="194" spans="1:5" x14ac:dyDescent="0.25">
      <c r="A194" t="s">
        <v>875</v>
      </c>
      <c r="B194" t="s">
        <v>328</v>
      </c>
      <c r="C194" t="s">
        <v>332</v>
      </c>
      <c r="D194" t="str">
        <f>VLOOKUP(C194,'Staffing Cohorts'!F:H,3,FALSE)</f>
        <v>Other</v>
      </c>
      <c r="E194">
        <v>5.2</v>
      </c>
    </row>
    <row r="195" spans="1:5" x14ac:dyDescent="0.25">
      <c r="A195" t="s">
        <v>876</v>
      </c>
      <c r="B195" t="s">
        <v>328</v>
      </c>
      <c r="C195" t="s">
        <v>722</v>
      </c>
      <c r="D195" t="str">
        <f>VLOOKUP(C195,'Staffing Cohorts'!F:H,3,FALSE)</f>
        <v>Lab</v>
      </c>
      <c r="E195">
        <v>1</v>
      </c>
    </row>
    <row r="196" spans="1:5" x14ac:dyDescent="0.25">
      <c r="A196" t="s">
        <v>877</v>
      </c>
      <c r="B196" t="s">
        <v>328</v>
      </c>
      <c r="C196" t="s">
        <v>567</v>
      </c>
      <c r="D196" t="str">
        <f>VLOOKUP(C196,'Staffing Cohorts'!F:H,3,FALSE)</f>
        <v>MA</v>
      </c>
      <c r="E196">
        <v>0.18</v>
      </c>
    </row>
    <row r="197" spans="1:5" x14ac:dyDescent="0.25">
      <c r="A197" t="s">
        <v>878</v>
      </c>
      <c r="B197" t="s">
        <v>328</v>
      </c>
      <c r="C197" t="s">
        <v>578</v>
      </c>
      <c r="D197" t="str">
        <f>VLOOKUP(C197,'Staffing Cohorts'!F:H,3,FALSE)</f>
        <v>MOSC</v>
      </c>
      <c r="E197">
        <v>1.22</v>
      </c>
    </row>
    <row r="198" spans="1:5" x14ac:dyDescent="0.25">
      <c r="A198" t="s">
        <v>879</v>
      </c>
      <c r="B198" t="s">
        <v>24</v>
      </c>
      <c r="C198" t="s">
        <v>555</v>
      </c>
      <c r="D198" t="str">
        <f>VLOOKUP(C198,'Staffing Cohorts'!F:H,3,FALSE)</f>
        <v>SUPV / MGR</v>
      </c>
      <c r="E198">
        <v>1</v>
      </c>
    </row>
    <row r="199" spans="1:5" x14ac:dyDescent="0.25">
      <c r="A199" t="s">
        <v>880</v>
      </c>
      <c r="B199" t="s">
        <v>24</v>
      </c>
      <c r="C199" t="s">
        <v>608</v>
      </c>
      <c r="D199" t="str">
        <f>VLOOKUP(C199,'Staffing Cohorts'!F:H,3,FALSE)</f>
        <v>MA</v>
      </c>
      <c r="E199">
        <v>1</v>
      </c>
    </row>
    <row r="200" spans="1:5" x14ac:dyDescent="0.25">
      <c r="A200" t="s">
        <v>881</v>
      </c>
      <c r="B200" t="s">
        <v>24</v>
      </c>
      <c r="C200" t="s">
        <v>323</v>
      </c>
      <c r="D200" t="str">
        <f>VLOOKUP(C200,'Staffing Cohorts'!F:H,3,FALSE)</f>
        <v>Other</v>
      </c>
      <c r="E200">
        <v>0.06</v>
      </c>
    </row>
    <row r="201" spans="1:5" x14ac:dyDescent="0.25">
      <c r="A201" t="s">
        <v>882</v>
      </c>
      <c r="B201" t="s">
        <v>24</v>
      </c>
      <c r="C201" t="s">
        <v>324</v>
      </c>
      <c r="D201" t="str">
        <f>VLOOKUP(C201,'Staffing Cohorts'!F:H,3,FALSE)</f>
        <v>Other</v>
      </c>
      <c r="E201">
        <v>2</v>
      </c>
    </row>
    <row r="202" spans="1:5" x14ac:dyDescent="0.25">
      <c r="A202" t="s">
        <v>883</v>
      </c>
      <c r="B202" t="s">
        <v>24</v>
      </c>
      <c r="C202" t="s">
        <v>322</v>
      </c>
      <c r="D202" t="str">
        <f>VLOOKUP(C202,'Staffing Cohorts'!F:H,3,FALSE)</f>
        <v>Other</v>
      </c>
      <c r="E202">
        <v>0.39</v>
      </c>
    </row>
    <row r="203" spans="1:5" x14ac:dyDescent="0.25">
      <c r="A203" t="s">
        <v>884</v>
      </c>
      <c r="B203" t="s">
        <v>24</v>
      </c>
      <c r="C203" t="s">
        <v>557</v>
      </c>
      <c r="D203" t="str">
        <f>VLOOKUP(C203,'Staffing Cohorts'!F:H,3,FALSE)</f>
        <v>SUPV / MGR</v>
      </c>
      <c r="E203">
        <v>0.17</v>
      </c>
    </row>
    <row r="204" spans="1:5" x14ac:dyDescent="0.25">
      <c r="A204" t="s">
        <v>885</v>
      </c>
      <c r="B204" t="s">
        <v>24</v>
      </c>
      <c r="C204" t="s">
        <v>633</v>
      </c>
      <c r="D204" t="str">
        <f>VLOOKUP(C204,'Staffing Cohorts'!F:H,3,FALSE)</f>
        <v>SUPV / MGR</v>
      </c>
      <c r="E204">
        <v>1.04</v>
      </c>
    </row>
    <row r="205" spans="1:5" x14ac:dyDescent="0.25">
      <c r="A205" t="s">
        <v>886</v>
      </c>
      <c r="B205" t="s">
        <v>24</v>
      </c>
      <c r="C205" t="s">
        <v>607</v>
      </c>
      <c r="D205" t="str">
        <f>VLOOKUP(C205,'Staffing Cohorts'!F:H,3,FALSE)</f>
        <v>SUPV / MGR</v>
      </c>
      <c r="E205">
        <v>1.04</v>
      </c>
    </row>
    <row r="206" spans="1:5" x14ac:dyDescent="0.25">
      <c r="A206" t="s">
        <v>887</v>
      </c>
      <c r="B206" t="s">
        <v>24</v>
      </c>
      <c r="C206" t="s">
        <v>325</v>
      </c>
      <c r="D206" t="str">
        <f>VLOOKUP(C206,'Staffing Cohorts'!F:H,3,FALSE)</f>
        <v>Other</v>
      </c>
      <c r="E206">
        <v>2.0300000000000002</v>
      </c>
    </row>
    <row r="207" spans="1:5" x14ac:dyDescent="0.25">
      <c r="A207" t="s">
        <v>888</v>
      </c>
      <c r="B207" t="s">
        <v>24</v>
      </c>
      <c r="C207" t="s">
        <v>561</v>
      </c>
      <c r="D207" t="str">
        <f>VLOOKUP(C207,'Staffing Cohorts'!F:H,3,FALSE)</f>
        <v>RN</v>
      </c>
      <c r="E207">
        <v>6.58</v>
      </c>
    </row>
    <row r="208" spans="1:5" x14ac:dyDescent="0.25">
      <c r="A208" t="s">
        <v>889</v>
      </c>
      <c r="B208" t="s">
        <v>24</v>
      </c>
      <c r="C208" t="s">
        <v>713</v>
      </c>
      <c r="D208" t="str">
        <f>VLOOKUP(C208,'Staffing Cohorts'!F:H,3,FALSE)</f>
        <v>RN</v>
      </c>
      <c r="E208">
        <v>0.12</v>
      </c>
    </row>
    <row r="209" spans="1:5" x14ac:dyDescent="0.25">
      <c r="A209" t="s">
        <v>890</v>
      </c>
      <c r="B209" t="s">
        <v>24</v>
      </c>
      <c r="C209" t="s">
        <v>565</v>
      </c>
      <c r="D209" t="str">
        <f>VLOOKUP(C209,'Staffing Cohorts'!F:H,3,FALSE)</f>
        <v>MA</v>
      </c>
      <c r="E209">
        <v>0.38999999999999996</v>
      </c>
    </row>
    <row r="210" spans="1:5" x14ac:dyDescent="0.25">
      <c r="A210" t="s">
        <v>891</v>
      </c>
      <c r="B210" t="s">
        <v>24</v>
      </c>
      <c r="C210" t="s">
        <v>589</v>
      </c>
      <c r="D210" t="str">
        <f>VLOOKUP(C210,'Staffing Cohorts'!F:H,3,FALSE)</f>
        <v>MA</v>
      </c>
      <c r="E210">
        <v>0.01</v>
      </c>
    </row>
    <row r="211" spans="1:5" x14ac:dyDescent="0.25">
      <c r="A211" t="s">
        <v>892</v>
      </c>
      <c r="B211" t="s">
        <v>24</v>
      </c>
      <c r="C211" t="s">
        <v>567</v>
      </c>
      <c r="D211" t="str">
        <f>VLOOKUP(C211,'Staffing Cohorts'!F:H,3,FALSE)</f>
        <v>MA</v>
      </c>
      <c r="E211">
        <v>9.2200000000000006</v>
      </c>
    </row>
    <row r="212" spans="1:5" x14ac:dyDescent="0.25">
      <c r="A212" t="s">
        <v>893</v>
      </c>
      <c r="B212" t="s">
        <v>24</v>
      </c>
      <c r="C212" t="s">
        <v>592</v>
      </c>
      <c r="D212" t="str">
        <f>VLOOKUP(C212,'Staffing Cohorts'!F:H,3,FALSE)</f>
        <v>RN</v>
      </c>
      <c r="E212">
        <v>0.56999999999999995</v>
      </c>
    </row>
    <row r="213" spans="1:5" x14ac:dyDescent="0.25">
      <c r="A213" t="s">
        <v>894</v>
      </c>
      <c r="B213" t="s">
        <v>24</v>
      </c>
      <c r="C213" t="s">
        <v>569</v>
      </c>
      <c r="D213" t="str">
        <f>VLOOKUP(C213,'Staffing Cohorts'!F:H,3,FALSE)</f>
        <v>RN</v>
      </c>
      <c r="E213">
        <v>0.83</v>
      </c>
    </row>
    <row r="214" spans="1:5" x14ac:dyDescent="0.25">
      <c r="A214" t="s">
        <v>895</v>
      </c>
      <c r="B214" t="s">
        <v>24</v>
      </c>
      <c r="C214" t="s">
        <v>571</v>
      </c>
      <c r="D214" t="str">
        <f>VLOOKUP(C214,'Staffing Cohorts'!F:H,3,FALSE)</f>
        <v>RN</v>
      </c>
      <c r="E214">
        <v>7.7</v>
      </c>
    </row>
    <row r="215" spans="1:5" x14ac:dyDescent="0.25">
      <c r="A215" t="s">
        <v>896</v>
      </c>
      <c r="B215" t="s">
        <v>24</v>
      </c>
      <c r="C215" t="s">
        <v>576</v>
      </c>
      <c r="D215" t="str">
        <f>VLOOKUP(C215,'Staffing Cohorts'!F:H,3,FALSE)</f>
        <v>MOSC</v>
      </c>
      <c r="E215">
        <v>9.5999999999999979</v>
      </c>
    </row>
    <row r="216" spans="1:5" x14ac:dyDescent="0.25">
      <c r="A216" t="s">
        <v>897</v>
      </c>
      <c r="B216" t="s">
        <v>24</v>
      </c>
      <c r="C216" t="s">
        <v>578</v>
      </c>
      <c r="D216" t="str">
        <f>VLOOKUP(C216,'Staffing Cohorts'!F:H,3,FALSE)</f>
        <v>MOSC</v>
      </c>
      <c r="E216">
        <v>7.6</v>
      </c>
    </row>
    <row r="217" spans="1:5" x14ac:dyDescent="0.25">
      <c r="A217" t="s">
        <v>898</v>
      </c>
      <c r="B217" t="s">
        <v>24</v>
      </c>
      <c r="C217" t="s">
        <v>329</v>
      </c>
      <c r="D217" t="str">
        <f>VLOOKUP(C217,'Staffing Cohorts'!F:H,3,FALSE)</f>
        <v>Other</v>
      </c>
      <c r="E217">
        <v>0.46</v>
      </c>
    </row>
    <row r="218" spans="1:5" x14ac:dyDescent="0.25">
      <c r="A218" t="s">
        <v>899</v>
      </c>
      <c r="B218" t="s">
        <v>24</v>
      </c>
      <c r="C218" t="s">
        <v>331</v>
      </c>
      <c r="D218" t="str">
        <f>VLOOKUP(C218,'Staffing Cohorts'!F:H,3,FALSE)</f>
        <v>Other</v>
      </c>
      <c r="E218">
        <v>0.96</v>
      </c>
    </row>
    <row r="219" spans="1:5" x14ac:dyDescent="0.25">
      <c r="A219" t="s">
        <v>900</v>
      </c>
      <c r="B219" t="s">
        <v>24</v>
      </c>
      <c r="C219" t="s">
        <v>327</v>
      </c>
      <c r="D219" t="str">
        <f>VLOOKUP(C219,'Staffing Cohorts'!F:H,3,FALSE)</f>
        <v>Other</v>
      </c>
      <c r="E219">
        <v>1</v>
      </c>
    </row>
    <row r="220" spans="1:5" x14ac:dyDescent="0.25">
      <c r="A220" t="s">
        <v>901</v>
      </c>
      <c r="B220" t="s">
        <v>328</v>
      </c>
      <c r="C220" t="s">
        <v>559</v>
      </c>
      <c r="D220" t="str">
        <f>VLOOKUP(C220,'Staffing Cohorts'!F:H,3,FALSE)</f>
        <v>SUPV / MGR</v>
      </c>
      <c r="E220">
        <v>0.16</v>
      </c>
    </row>
    <row r="221" spans="1:5" x14ac:dyDescent="0.25">
      <c r="A221" t="s">
        <v>902</v>
      </c>
      <c r="B221" t="s">
        <v>328</v>
      </c>
      <c r="C221" t="s">
        <v>647</v>
      </c>
      <c r="D221" t="str">
        <f>VLOOKUP(C221,'Staffing Cohorts'!F:H,3,FALSE)</f>
        <v>SUPV / MGR</v>
      </c>
      <c r="E221">
        <v>1.04</v>
      </c>
    </row>
    <row r="222" spans="1:5" x14ac:dyDescent="0.25">
      <c r="A222" t="s">
        <v>903</v>
      </c>
      <c r="B222" t="s">
        <v>328</v>
      </c>
      <c r="C222" t="s">
        <v>333</v>
      </c>
      <c r="D222" t="str">
        <f>VLOOKUP(C222,'Staffing Cohorts'!F:H,3,FALSE)</f>
        <v>Other</v>
      </c>
      <c r="E222">
        <v>3</v>
      </c>
    </row>
    <row r="223" spans="1:5" x14ac:dyDescent="0.25">
      <c r="A223" t="s">
        <v>904</v>
      </c>
      <c r="B223" t="s">
        <v>328</v>
      </c>
      <c r="C223" t="s">
        <v>567</v>
      </c>
      <c r="D223" t="str">
        <f>VLOOKUP(C223,'Staffing Cohorts'!F:H,3,FALSE)</f>
        <v>MA</v>
      </c>
      <c r="E223">
        <v>0.09</v>
      </c>
    </row>
    <row r="224" spans="1:5" x14ac:dyDescent="0.25">
      <c r="A224" t="s">
        <v>905</v>
      </c>
      <c r="B224" t="s">
        <v>328</v>
      </c>
      <c r="C224" t="s">
        <v>742</v>
      </c>
      <c r="D224" t="str">
        <f>VLOOKUP(C224,'Staffing Cohorts'!F:H,3,FALSE)</f>
        <v>DI</v>
      </c>
      <c r="E224">
        <v>0.94</v>
      </c>
    </row>
    <row r="225" spans="1:5" x14ac:dyDescent="0.25">
      <c r="A225" t="s">
        <v>906</v>
      </c>
      <c r="B225" t="s">
        <v>328</v>
      </c>
      <c r="C225" t="s">
        <v>578</v>
      </c>
      <c r="D225" t="str">
        <f>VLOOKUP(C225,'Staffing Cohorts'!F:H,3,FALSE)</f>
        <v>MOSC</v>
      </c>
      <c r="E225">
        <v>0.57999999999999996</v>
      </c>
    </row>
    <row r="226" spans="1:5" x14ac:dyDescent="0.25">
      <c r="A226" t="s">
        <v>907</v>
      </c>
      <c r="B226" t="s">
        <v>328</v>
      </c>
      <c r="C226" t="s">
        <v>336</v>
      </c>
      <c r="D226" t="str">
        <f>VLOOKUP(C226,'Staffing Cohorts'!F:H,3,FALSE)</f>
        <v>Other</v>
      </c>
      <c r="E226">
        <v>1</v>
      </c>
    </row>
    <row r="227" spans="1:5" x14ac:dyDescent="0.25">
      <c r="A227" t="s">
        <v>908</v>
      </c>
      <c r="B227" t="s">
        <v>30</v>
      </c>
      <c r="C227" t="s">
        <v>555</v>
      </c>
      <c r="D227" t="str">
        <f>VLOOKUP(C227,'Staffing Cohorts'!F:H,3,FALSE)</f>
        <v>SUPV / MGR</v>
      </c>
      <c r="E227">
        <v>1</v>
      </c>
    </row>
    <row r="228" spans="1:5" x14ac:dyDescent="0.25">
      <c r="A228" t="s">
        <v>909</v>
      </c>
      <c r="B228" t="s">
        <v>30</v>
      </c>
      <c r="C228" t="s">
        <v>633</v>
      </c>
      <c r="D228" t="str">
        <f>VLOOKUP(C228,'Staffing Cohorts'!F:H,3,FALSE)</f>
        <v>SUPV / MGR</v>
      </c>
      <c r="E228">
        <v>0.1</v>
      </c>
    </row>
    <row r="229" spans="1:5" x14ac:dyDescent="0.25">
      <c r="A229" t="s">
        <v>910</v>
      </c>
      <c r="B229" t="s">
        <v>30</v>
      </c>
      <c r="C229" t="s">
        <v>561</v>
      </c>
      <c r="D229" t="str">
        <f>VLOOKUP(C229,'Staffing Cohorts'!F:H,3,FALSE)</f>
        <v>RN</v>
      </c>
      <c r="E229">
        <v>0.98</v>
      </c>
    </row>
    <row r="230" spans="1:5" x14ac:dyDescent="0.25">
      <c r="A230" t="s">
        <v>911</v>
      </c>
      <c r="B230" t="s">
        <v>30</v>
      </c>
      <c r="C230" t="s">
        <v>567</v>
      </c>
      <c r="D230" t="str">
        <f>VLOOKUP(C230,'Staffing Cohorts'!F:H,3,FALSE)</f>
        <v>MA</v>
      </c>
      <c r="E230">
        <v>0.98</v>
      </c>
    </row>
    <row r="231" spans="1:5" x14ac:dyDescent="0.25">
      <c r="A231" t="s">
        <v>912</v>
      </c>
      <c r="B231" t="s">
        <v>30</v>
      </c>
      <c r="C231" t="s">
        <v>576</v>
      </c>
      <c r="D231" t="str">
        <f>VLOOKUP(C231,'Staffing Cohorts'!F:H,3,FALSE)</f>
        <v>MOSC</v>
      </c>
      <c r="E231">
        <v>0.92</v>
      </c>
    </row>
    <row r="232" spans="1:5" x14ac:dyDescent="0.25">
      <c r="A232" t="s">
        <v>913</v>
      </c>
      <c r="B232" t="s">
        <v>30</v>
      </c>
      <c r="C232" t="s">
        <v>578</v>
      </c>
      <c r="D232" t="str">
        <f>VLOOKUP(C232,'Staffing Cohorts'!F:H,3,FALSE)</f>
        <v>MOSC</v>
      </c>
      <c r="E232">
        <v>2.5499999999999998</v>
      </c>
    </row>
  </sheetData>
  <autoFilter ref="A1:N1" xr:uid="{00000000-0009-0000-0000-000012000000}"/>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BF23"/>
  <sheetViews>
    <sheetView tabSelected="1" workbookViewId="0">
      <pane xSplit="1" topLeftCell="B1" activePane="topRight" state="frozen"/>
      <selection pane="topRight" activeCell="E18" sqref="E18"/>
    </sheetView>
  </sheetViews>
  <sheetFormatPr defaultColWidth="9.140625" defaultRowHeight="21" x14ac:dyDescent="0.45"/>
  <cols>
    <col min="1" max="1" width="23.140625" style="18" bestFit="1" customWidth="1"/>
    <col min="2" max="2" width="12.42578125" style="18" customWidth="1"/>
    <col min="3" max="3" width="12.42578125" style="19" customWidth="1"/>
    <col min="4" max="4" width="10.85546875" style="19" customWidth="1"/>
    <col min="5" max="5" width="11.28515625" style="19" customWidth="1"/>
    <col min="6" max="6" width="10.5703125" style="19" customWidth="1"/>
    <col min="7" max="7" width="11.5703125" style="19" customWidth="1"/>
    <col min="8" max="8" width="16.5703125" style="19" bestFit="1" customWidth="1"/>
    <col min="9" max="9" width="14.85546875" style="19" customWidth="1"/>
    <col min="10" max="10" width="10.42578125" style="19" customWidth="1"/>
    <col min="11" max="12" width="10.140625" style="19" customWidth="1"/>
    <col min="13" max="13" width="12.5703125" style="19" customWidth="1"/>
    <col min="14" max="14" width="14.85546875" style="19" customWidth="1"/>
    <col min="15" max="15" width="15" style="19" bestFit="1" customWidth="1"/>
    <col min="16" max="16" width="15" style="19" customWidth="1"/>
    <col min="17" max="17" width="16.7109375" style="165" bestFit="1" customWidth="1"/>
    <col min="18" max="18" width="16.7109375" style="165" customWidth="1"/>
    <col min="19" max="19" width="14.85546875" style="19" customWidth="1"/>
    <col min="20" max="20" width="9.140625" style="32" customWidth="1"/>
    <col min="21" max="21" width="15.28515625" style="18" customWidth="1"/>
    <col min="22" max="22" width="15" style="37" customWidth="1"/>
    <col min="23" max="23" width="12.7109375" style="19" customWidth="1"/>
    <col min="24" max="24" width="10.85546875" style="18" customWidth="1"/>
    <col min="25" max="26" width="9.28515625" style="18" customWidth="1"/>
    <col min="27" max="27" width="10.85546875" style="18" customWidth="1"/>
    <col min="28" max="28" width="9.28515625" style="18" customWidth="1"/>
    <col min="29" max="29" width="10.85546875" style="18" customWidth="1"/>
    <col min="30" max="30" width="13.42578125" style="18" customWidth="1"/>
    <col min="31" max="33" width="16.7109375" style="24" customWidth="1"/>
    <col min="34" max="36" width="15.42578125" style="18" customWidth="1"/>
    <col min="37" max="37" width="15.28515625" style="18" customWidth="1"/>
    <col min="38" max="40" width="16.5703125" style="18" customWidth="1"/>
    <col min="41" max="41" width="9.140625" style="18"/>
    <col min="42" max="42" width="23.140625" style="18" bestFit="1" customWidth="1"/>
    <col min="43" max="44" width="13.5703125" style="19" customWidth="1"/>
    <col min="45" max="45" width="15.5703125" style="19" customWidth="1"/>
    <col min="46" max="46" width="13.5703125" style="19" customWidth="1"/>
    <col min="47" max="47" width="14.140625" style="18" customWidth="1"/>
    <col min="48" max="48" width="12.5703125" style="19" customWidth="1"/>
    <col min="49" max="49" width="14.85546875" style="19" customWidth="1"/>
    <col min="50" max="50" width="17.85546875" style="18" customWidth="1"/>
    <col min="51" max="51" width="14.5703125" style="19" customWidth="1"/>
    <col min="52" max="53" width="15.42578125" style="19" customWidth="1"/>
    <col min="54" max="54" width="15.42578125" style="18" customWidth="1"/>
    <col min="55" max="56" width="15.42578125" style="19" customWidth="1"/>
    <col min="57" max="16384" width="9.140625" style="18"/>
  </cols>
  <sheetData>
    <row r="1" spans="1:58" s="17" customFormat="1" x14ac:dyDescent="0.45">
      <c r="B1" s="236" t="s">
        <v>40</v>
      </c>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Q1" s="238" t="s">
        <v>228</v>
      </c>
      <c r="AR1" s="238"/>
      <c r="AS1" s="238"/>
      <c r="AT1" s="238"/>
      <c r="AU1" s="238"/>
      <c r="AV1" s="238"/>
      <c r="AW1" s="238"/>
      <c r="AX1" s="238"/>
      <c r="AY1" s="238"/>
      <c r="AZ1" s="238"/>
      <c r="BA1" s="238"/>
      <c r="BB1" s="238"/>
      <c r="BC1" s="238"/>
      <c r="BD1" s="238"/>
    </row>
    <row r="2" spans="1:58" s="23" customFormat="1" ht="94.5" customHeight="1" x14ac:dyDescent="0.45">
      <c r="A2" s="53" t="s">
        <v>3</v>
      </c>
      <c r="B2" s="53" t="s">
        <v>238</v>
      </c>
      <c r="C2" s="53" t="s">
        <v>239</v>
      </c>
      <c r="D2" s="53" t="s">
        <v>240</v>
      </c>
      <c r="E2" s="53" t="s">
        <v>241</v>
      </c>
      <c r="F2" s="53" t="s">
        <v>242</v>
      </c>
      <c r="G2" s="53" t="s">
        <v>243</v>
      </c>
      <c r="H2" s="53" t="s">
        <v>244</v>
      </c>
      <c r="I2" s="53" t="s">
        <v>245</v>
      </c>
      <c r="J2" s="53" t="s">
        <v>246</v>
      </c>
      <c r="K2" s="53" t="s">
        <v>169</v>
      </c>
      <c r="L2" s="53" t="s">
        <v>168</v>
      </c>
      <c r="M2" s="53" t="s">
        <v>247</v>
      </c>
      <c r="N2" s="53" t="s">
        <v>248</v>
      </c>
      <c r="O2" s="53" t="s">
        <v>249</v>
      </c>
      <c r="P2" s="53" t="s">
        <v>250</v>
      </c>
      <c r="Q2" s="53" t="s">
        <v>251</v>
      </c>
      <c r="R2" s="53" t="s">
        <v>252</v>
      </c>
      <c r="S2" s="53" t="s">
        <v>253</v>
      </c>
      <c r="T2" s="51" t="s">
        <v>139</v>
      </c>
      <c r="U2" s="49" t="s">
        <v>254</v>
      </c>
      <c r="V2" s="49" t="s">
        <v>7</v>
      </c>
      <c r="W2" s="53" t="s">
        <v>8</v>
      </c>
      <c r="X2" s="49" t="s">
        <v>255</v>
      </c>
      <c r="Y2" s="49" t="s">
        <v>256</v>
      </c>
      <c r="Z2" s="49" t="s">
        <v>257</v>
      </c>
      <c r="AA2" s="49" t="s">
        <v>258</v>
      </c>
      <c r="AB2" s="49" t="s">
        <v>259</v>
      </c>
      <c r="AC2" s="49" t="s">
        <v>260</v>
      </c>
      <c r="AD2" s="49" t="s">
        <v>261</v>
      </c>
      <c r="AE2" s="97" t="s">
        <v>1002</v>
      </c>
      <c r="AF2" s="97" t="s">
        <v>1003</v>
      </c>
      <c r="AG2" s="97" t="s">
        <v>1000</v>
      </c>
      <c r="AH2" s="49" t="s">
        <v>1004</v>
      </c>
      <c r="AI2" s="49" t="s">
        <v>1005</v>
      </c>
      <c r="AJ2" s="49" t="s">
        <v>1006</v>
      </c>
      <c r="AK2" s="49" t="s">
        <v>262</v>
      </c>
      <c r="AL2" s="49" t="s">
        <v>1007</v>
      </c>
      <c r="AM2" s="49" t="s">
        <v>1008</v>
      </c>
      <c r="AN2" s="49" t="s">
        <v>1001</v>
      </c>
      <c r="AP2" s="161" t="s">
        <v>3</v>
      </c>
      <c r="AQ2" s="106" t="s">
        <v>263</v>
      </c>
      <c r="AR2" s="106" t="s">
        <v>264</v>
      </c>
      <c r="AS2" s="105" t="s">
        <v>265</v>
      </c>
      <c r="AT2" s="105" t="s">
        <v>266</v>
      </c>
      <c r="AU2" s="105" t="s">
        <v>267</v>
      </c>
      <c r="AV2" s="53" t="s">
        <v>247</v>
      </c>
      <c r="AW2" s="53" t="s">
        <v>268</v>
      </c>
      <c r="AX2" s="105" t="s">
        <v>269</v>
      </c>
      <c r="AY2" s="106" t="s">
        <v>270</v>
      </c>
      <c r="AZ2" s="106" t="s">
        <v>271</v>
      </c>
      <c r="BA2" s="106" t="s">
        <v>272</v>
      </c>
      <c r="BB2" s="105" t="s">
        <v>273</v>
      </c>
      <c r="BC2" s="106" t="s">
        <v>274</v>
      </c>
      <c r="BD2" s="106" t="s">
        <v>275</v>
      </c>
      <c r="BF2" s="104"/>
    </row>
    <row r="3" spans="1:58" ht="21.75" x14ac:dyDescent="0.45">
      <c r="A3" s="18" t="s">
        <v>155</v>
      </c>
      <c r="B3" s="25">
        <v>27441</v>
      </c>
      <c r="C3" s="19">
        <v>27441</v>
      </c>
      <c r="D3" s="19">
        <v>0</v>
      </c>
      <c r="E3" s="37">
        <v>0</v>
      </c>
      <c r="F3" s="37">
        <v>0.12350133012645312</v>
      </c>
      <c r="G3" s="19">
        <v>3880</v>
      </c>
      <c r="H3" s="19">
        <v>65</v>
      </c>
      <c r="I3" s="19">
        <v>1444.2631578947369</v>
      </c>
      <c r="J3" s="19">
        <v>8</v>
      </c>
      <c r="K3" s="19">
        <v>5</v>
      </c>
      <c r="L3" s="19">
        <v>50</v>
      </c>
      <c r="M3" s="19">
        <v>38000</v>
      </c>
      <c r="N3" s="37">
        <v>0.78230921052631575</v>
      </c>
      <c r="O3" s="163" t="s">
        <v>992</v>
      </c>
      <c r="P3" s="174">
        <v>6.0177631578947368</v>
      </c>
      <c r="Q3" s="166" t="s">
        <v>993</v>
      </c>
      <c r="R3" s="166">
        <v>4.8</v>
      </c>
      <c r="S3" s="37">
        <v>-0.26441331459883527</v>
      </c>
      <c r="T3" s="32">
        <v>16.21</v>
      </c>
      <c r="U3" s="18">
        <v>24</v>
      </c>
      <c r="V3" s="37">
        <v>0.67541666666666667</v>
      </c>
      <c r="W3" s="19">
        <v>1692.8439235040098</v>
      </c>
      <c r="X3" s="32">
        <v>12.32</v>
      </c>
      <c r="Y3" s="32">
        <v>3.93</v>
      </c>
      <c r="Z3" s="32">
        <v>2.09</v>
      </c>
      <c r="AA3" s="32">
        <v>10.69</v>
      </c>
      <c r="AB3" s="32">
        <v>5.35</v>
      </c>
      <c r="AC3" s="86">
        <v>34.380000000000003</v>
      </c>
      <c r="AD3" s="32">
        <v>0.01</v>
      </c>
      <c r="AE3" s="24">
        <v>0.01</v>
      </c>
      <c r="AF3" s="24">
        <v>0.03</v>
      </c>
      <c r="AG3" s="24">
        <v>0.05</v>
      </c>
      <c r="AH3" s="19">
        <v>30615.05510084295</v>
      </c>
      <c r="AI3" s="19">
        <v>37984.761646549508</v>
      </c>
      <c r="AJ3" s="19">
        <v>46933.422326069769</v>
      </c>
      <c r="AK3" s="19">
        <v>1187.0238014546721</v>
      </c>
      <c r="AL3" s="19">
        <v>26</v>
      </c>
      <c r="AM3" s="19">
        <v>32</v>
      </c>
      <c r="AN3" s="19">
        <v>39</v>
      </c>
      <c r="AO3" s="23"/>
      <c r="AP3" s="18" t="s">
        <v>155</v>
      </c>
      <c r="AW3" s="37"/>
      <c r="AY3" s="19">
        <v>0</v>
      </c>
      <c r="AZ3" s="19">
        <v>0</v>
      </c>
      <c r="BA3" s="19">
        <v>0</v>
      </c>
      <c r="BB3" s="19"/>
      <c r="BC3" s="19">
        <v>0</v>
      </c>
      <c r="BD3" s="19">
        <v>0</v>
      </c>
    </row>
    <row r="4" spans="1:58" ht="21.75" x14ac:dyDescent="0.45">
      <c r="A4" s="18" t="s">
        <v>156</v>
      </c>
      <c r="B4" s="19">
        <v>1273</v>
      </c>
      <c r="C4" s="19">
        <v>1273</v>
      </c>
      <c r="D4" s="19">
        <v>0</v>
      </c>
      <c r="E4" s="37">
        <v>0</v>
      </c>
      <c r="F4" s="24">
        <v>0</v>
      </c>
      <c r="G4" s="19">
        <v>1273</v>
      </c>
      <c r="H4" s="19">
        <v>120</v>
      </c>
      <c r="I4" s="19">
        <v>181.85714285714286</v>
      </c>
      <c r="J4" s="19">
        <v>8</v>
      </c>
      <c r="K4" s="19">
        <v>5</v>
      </c>
      <c r="L4" s="19">
        <v>50</v>
      </c>
      <c r="M4" s="19">
        <v>14000</v>
      </c>
      <c r="N4" s="37">
        <v>0.18185714285714286</v>
      </c>
      <c r="O4" s="163" t="s">
        <v>994</v>
      </c>
      <c r="P4" s="174">
        <v>0.75773809523809521</v>
      </c>
      <c r="Q4" s="166" t="s">
        <v>995</v>
      </c>
      <c r="R4" s="166">
        <v>2.6</v>
      </c>
      <c r="S4" s="37">
        <v>0</v>
      </c>
      <c r="V4" s="37">
        <v>0</v>
      </c>
      <c r="W4" s="19" t="e">
        <v>#DIV/0!</v>
      </c>
      <c r="X4" s="32"/>
      <c r="Y4" s="32"/>
      <c r="Z4" s="32"/>
      <c r="AA4" s="32"/>
      <c r="AB4" s="32"/>
      <c r="AC4" s="86">
        <v>0</v>
      </c>
      <c r="AD4" s="24">
        <v>0</v>
      </c>
      <c r="AE4" s="24">
        <v>0.01</v>
      </c>
      <c r="AF4" s="24">
        <v>0.03</v>
      </c>
      <c r="AG4" s="24">
        <v>0.05</v>
      </c>
      <c r="AH4" s="19">
        <v>1420.2458053049479</v>
      </c>
      <c r="AI4" s="19">
        <v>1762.1297174322192</v>
      </c>
      <c r="AJ4" s="19">
        <v>2177.2620028820675</v>
      </c>
      <c r="AK4" s="232">
        <v>587.3765724774064</v>
      </c>
      <c r="AL4" s="19">
        <v>2</v>
      </c>
      <c r="AM4" s="19">
        <v>3</v>
      </c>
      <c r="AN4" s="19">
        <v>3</v>
      </c>
      <c r="AO4" s="23"/>
      <c r="AP4" s="18" t="s">
        <v>156</v>
      </c>
      <c r="AW4" s="37"/>
      <c r="AY4" s="19">
        <v>0</v>
      </c>
      <c r="AZ4" s="19">
        <v>0</v>
      </c>
      <c r="BA4" s="19">
        <v>0</v>
      </c>
      <c r="BB4" s="19"/>
      <c r="BC4" s="19">
        <v>0</v>
      </c>
      <c r="BD4" s="19">
        <v>0</v>
      </c>
    </row>
    <row r="5" spans="1:58" ht="21.75" x14ac:dyDescent="0.45">
      <c r="A5" s="18" t="s">
        <v>20</v>
      </c>
      <c r="B5" s="19">
        <v>1968</v>
      </c>
      <c r="C5" s="19">
        <v>1968</v>
      </c>
      <c r="D5" s="19">
        <v>0</v>
      </c>
      <c r="E5" s="37">
        <v>0</v>
      </c>
      <c r="F5" s="24">
        <v>8.9939024390243899E-2</v>
      </c>
      <c r="G5" s="19">
        <v>168</v>
      </c>
      <c r="H5" s="19">
        <v>45</v>
      </c>
      <c r="I5" s="19">
        <v>984</v>
      </c>
      <c r="J5" s="19">
        <v>8</v>
      </c>
      <c r="K5" s="19">
        <v>5</v>
      </c>
      <c r="L5" s="19">
        <v>50</v>
      </c>
      <c r="M5" s="19">
        <v>4000</v>
      </c>
      <c r="N5" s="37">
        <v>0.36899999999999999</v>
      </c>
      <c r="O5" s="163" t="s">
        <v>993</v>
      </c>
      <c r="P5" s="174">
        <v>4.0999999999999996</v>
      </c>
      <c r="Q5" s="166" t="s">
        <v>992</v>
      </c>
      <c r="R5" s="166">
        <v>6.9333333333333336</v>
      </c>
      <c r="S5" s="37">
        <v>9.3333333333333338E-2</v>
      </c>
      <c r="V5" s="37">
        <v>0</v>
      </c>
      <c r="W5" s="19" t="e">
        <v>#DIV/0!</v>
      </c>
      <c r="X5" s="32"/>
      <c r="Y5" s="32">
        <v>3.24</v>
      </c>
      <c r="Z5" s="32"/>
      <c r="AA5" s="32"/>
      <c r="AB5" s="32"/>
      <c r="AC5" s="86">
        <v>3.24</v>
      </c>
      <c r="AD5" s="24">
        <v>0.01</v>
      </c>
      <c r="AE5" s="24">
        <v>0.01</v>
      </c>
      <c r="AF5" s="24">
        <v>0.03</v>
      </c>
      <c r="AG5" s="24">
        <v>0.05</v>
      </c>
      <c r="AH5" s="19">
        <v>2195.6353062373428</v>
      </c>
      <c r="AI5" s="19">
        <v>2724.1722575857088</v>
      </c>
      <c r="AJ5" s="19">
        <v>3365.9478567729057</v>
      </c>
      <c r="AK5" s="232">
        <v>1362.0861287928544</v>
      </c>
      <c r="AL5" s="19">
        <v>1</v>
      </c>
      <c r="AM5" s="19">
        <v>2</v>
      </c>
      <c r="AN5" s="19">
        <v>2</v>
      </c>
      <c r="AO5" s="23"/>
      <c r="AP5" s="18" t="s">
        <v>20</v>
      </c>
      <c r="AW5" s="37"/>
      <c r="AY5" s="19">
        <v>0</v>
      </c>
      <c r="AZ5" s="19">
        <v>0</v>
      </c>
      <c r="BA5" s="19">
        <v>0</v>
      </c>
      <c r="BB5" s="19"/>
      <c r="BC5" s="19">
        <v>0</v>
      </c>
      <c r="BD5" s="19">
        <v>0</v>
      </c>
    </row>
    <row r="6" spans="1:58" ht="21.75" x14ac:dyDescent="0.45">
      <c r="A6" s="18" t="s">
        <v>21</v>
      </c>
      <c r="B6" s="19">
        <v>36033</v>
      </c>
      <c r="C6" s="19">
        <v>28105.273715906827</v>
      </c>
      <c r="D6" s="19">
        <v>7927.7262840931708</v>
      </c>
      <c r="E6" s="37">
        <v>0.22001294047382042</v>
      </c>
      <c r="F6" s="24">
        <v>6.2977504431783122E-3</v>
      </c>
      <c r="G6" s="19">
        <v>3507.2737159068274</v>
      </c>
      <c r="H6" s="19">
        <v>50</v>
      </c>
      <c r="I6" s="19">
        <v>851.67496108808564</v>
      </c>
      <c r="J6" s="19">
        <v>8</v>
      </c>
      <c r="K6" s="19">
        <v>5</v>
      </c>
      <c r="L6" s="19">
        <v>50</v>
      </c>
      <c r="M6" s="19">
        <v>66000</v>
      </c>
      <c r="N6" s="37">
        <v>0.45496212121212121</v>
      </c>
      <c r="O6" s="163" t="s">
        <v>996</v>
      </c>
      <c r="P6" s="174">
        <v>4.5496212121212114</v>
      </c>
      <c r="Q6" s="166" t="s">
        <v>992</v>
      </c>
      <c r="R6" s="166">
        <v>6.24</v>
      </c>
      <c r="S6" s="37">
        <v>0.10795994612646315</v>
      </c>
      <c r="T6" s="32">
        <v>11.43</v>
      </c>
      <c r="U6" s="18">
        <v>25</v>
      </c>
      <c r="V6" s="37">
        <v>0.4572</v>
      </c>
      <c r="W6" s="19">
        <v>2458.9040871309562</v>
      </c>
      <c r="X6" s="32">
        <v>10.52</v>
      </c>
      <c r="Y6" s="32">
        <v>4.68</v>
      </c>
      <c r="Z6" s="32">
        <v>7.24</v>
      </c>
      <c r="AA6" s="32">
        <v>19.8</v>
      </c>
      <c r="AB6" s="32">
        <v>12.18</v>
      </c>
      <c r="AC6" s="86">
        <v>54.419999999999995</v>
      </c>
      <c r="AD6" s="24">
        <v>1.6E-2</v>
      </c>
      <c r="AE6" s="24">
        <v>0.01</v>
      </c>
      <c r="AF6" s="24">
        <v>0.03</v>
      </c>
      <c r="AG6" s="24">
        <v>0.05</v>
      </c>
      <c r="AH6" s="19">
        <v>40200.877535391352</v>
      </c>
      <c r="AI6" s="19">
        <v>49878.099063813941</v>
      </c>
      <c r="AJ6" s="19">
        <v>61628.658091005134</v>
      </c>
      <c r="AK6" s="232">
        <v>1558.6905957441857</v>
      </c>
      <c r="AL6" s="19">
        <v>26</v>
      </c>
      <c r="AM6" s="19">
        <v>32</v>
      </c>
      <c r="AN6" s="19">
        <v>40</v>
      </c>
      <c r="AO6" s="23"/>
      <c r="AP6" s="18" t="s">
        <v>21</v>
      </c>
      <c r="AQ6" s="19">
        <v>900</v>
      </c>
      <c r="AR6" s="19">
        <v>743</v>
      </c>
      <c r="AS6" s="19">
        <v>579.53038522795146</v>
      </c>
      <c r="AT6" s="19">
        <v>163.46961477204857</v>
      </c>
      <c r="AU6" s="18">
        <v>90</v>
      </c>
      <c r="AV6" s="19">
        <v>2000</v>
      </c>
      <c r="AW6" s="37">
        <v>0.33695049999999999</v>
      </c>
      <c r="AX6" s="18">
        <v>1</v>
      </c>
      <c r="AY6" s="19">
        <v>743</v>
      </c>
      <c r="AZ6" s="19">
        <v>1014.1425271187728</v>
      </c>
      <c r="BA6" s="19">
        <v>1616.2706934199164</v>
      </c>
      <c r="BB6" s="19">
        <v>1020</v>
      </c>
      <c r="BC6" s="19">
        <v>0.9942573795282087</v>
      </c>
      <c r="BD6" s="19">
        <v>1.5845791111959964</v>
      </c>
    </row>
    <row r="7" spans="1:58" ht="21.75" x14ac:dyDescent="0.45">
      <c r="A7" s="18" t="s">
        <v>22</v>
      </c>
      <c r="B7" s="19">
        <v>33194</v>
      </c>
      <c r="C7" s="19">
        <v>33194</v>
      </c>
      <c r="D7" s="19">
        <v>0</v>
      </c>
      <c r="E7" s="37">
        <v>0</v>
      </c>
      <c r="F7" s="24">
        <v>0</v>
      </c>
      <c r="G7" s="19">
        <v>33194</v>
      </c>
      <c r="H7" s="19">
        <v>20</v>
      </c>
      <c r="I7" s="19">
        <v>5532.333333333333</v>
      </c>
      <c r="J7" s="19">
        <v>8</v>
      </c>
      <c r="K7" s="19">
        <v>5</v>
      </c>
      <c r="L7" s="19">
        <v>50</v>
      </c>
      <c r="M7" s="19">
        <v>12000</v>
      </c>
      <c r="N7" s="37">
        <v>0.92205555555555552</v>
      </c>
      <c r="O7" s="163" t="s">
        <v>997</v>
      </c>
      <c r="P7" s="174">
        <v>23.051388888888891</v>
      </c>
      <c r="Q7" s="166" t="s">
        <v>998</v>
      </c>
      <c r="R7" s="166">
        <v>15.6</v>
      </c>
      <c r="S7" s="37">
        <v>0</v>
      </c>
      <c r="V7" s="37">
        <v>0</v>
      </c>
      <c r="W7" s="19" t="e">
        <v>#DIV/0!</v>
      </c>
      <c r="X7" s="32"/>
      <c r="Y7" s="32"/>
      <c r="Z7" s="32"/>
      <c r="AA7" s="32"/>
      <c r="AB7" s="32"/>
      <c r="AC7" s="86">
        <v>0</v>
      </c>
      <c r="AD7" s="24">
        <v>0</v>
      </c>
      <c r="AE7" s="24">
        <v>0.01</v>
      </c>
      <c r="AF7" s="24">
        <v>0.03</v>
      </c>
      <c r="AG7" s="24">
        <v>0.05</v>
      </c>
      <c r="AH7" s="19">
        <v>37033.495099208521</v>
      </c>
      <c r="AI7" s="19">
        <v>45948.259104827244</v>
      </c>
      <c r="AJ7" s="19">
        <v>56773.004653312921</v>
      </c>
      <c r="AK7" s="232">
        <v>3829.021592068937</v>
      </c>
      <c r="AL7" s="19">
        <v>9</v>
      </c>
      <c r="AM7" s="19">
        <v>12</v>
      </c>
      <c r="AN7" s="19">
        <v>15</v>
      </c>
      <c r="AO7" s="23"/>
      <c r="AP7" s="18" t="s">
        <v>22</v>
      </c>
      <c r="AW7" s="37"/>
      <c r="AY7" s="19">
        <v>0</v>
      </c>
      <c r="AZ7" s="19">
        <v>0</v>
      </c>
      <c r="BA7" s="19">
        <v>0</v>
      </c>
      <c r="BB7" s="19"/>
      <c r="BC7" s="19">
        <v>0</v>
      </c>
      <c r="BD7" s="19">
        <v>0</v>
      </c>
    </row>
    <row r="8" spans="1:58" ht="21.75" x14ac:dyDescent="0.45">
      <c r="A8" s="18" t="s">
        <v>23</v>
      </c>
      <c r="B8" s="19">
        <v>26077</v>
      </c>
      <c r="C8" s="19">
        <v>24180.300030194248</v>
      </c>
      <c r="D8" s="19">
        <v>1896.6999698057502</v>
      </c>
      <c r="E8" s="37">
        <v>7.2734592545375246E-2</v>
      </c>
      <c r="F8" s="24">
        <v>3.1430544660363117E-3</v>
      </c>
      <c r="G8" s="19">
        <v>-3694.6999698057516</v>
      </c>
      <c r="H8" s="19">
        <v>60</v>
      </c>
      <c r="I8" s="19">
        <v>967.21200120776996</v>
      </c>
      <c r="J8" s="19">
        <v>8</v>
      </c>
      <c r="K8" s="19">
        <v>5</v>
      </c>
      <c r="L8" s="19">
        <v>50</v>
      </c>
      <c r="M8" s="19">
        <v>50000</v>
      </c>
      <c r="N8" s="37">
        <v>0.52154</v>
      </c>
      <c r="O8" s="163" t="s">
        <v>993</v>
      </c>
      <c r="P8" s="174">
        <v>4.346166666666667</v>
      </c>
      <c r="Q8" s="166" t="s">
        <v>999</v>
      </c>
      <c r="R8" s="166">
        <v>5.2</v>
      </c>
      <c r="S8" s="37">
        <v>-9.7847102012483547E-2</v>
      </c>
      <c r="T8" s="32">
        <v>4.8</v>
      </c>
      <c r="U8" s="18">
        <v>12</v>
      </c>
      <c r="V8" s="37">
        <v>0.39999999999999997</v>
      </c>
      <c r="W8" s="19">
        <v>5037.5625062904683</v>
      </c>
      <c r="X8" s="32">
        <v>2.87</v>
      </c>
      <c r="Y8" s="32">
        <v>13.51</v>
      </c>
      <c r="Z8" s="32">
        <v>4.1100000000000003</v>
      </c>
      <c r="AA8" s="32">
        <v>9.7899999999999991</v>
      </c>
      <c r="AB8" s="32">
        <v>0.18</v>
      </c>
      <c r="AC8" s="86">
        <v>30.459999999999997</v>
      </c>
      <c r="AD8" s="24">
        <v>0.01</v>
      </c>
      <c r="AE8" s="24">
        <v>0.01</v>
      </c>
      <c r="AF8" s="24">
        <v>0.03</v>
      </c>
      <c r="AG8" s="24">
        <v>0.05</v>
      </c>
      <c r="AH8" s="19">
        <v>29093.283475991459</v>
      </c>
      <c r="AI8" s="19">
        <v>36096.666646881364</v>
      </c>
      <c r="AJ8" s="19">
        <v>44600.519441599114</v>
      </c>
      <c r="AK8" s="19">
        <v>1289.1666659600487</v>
      </c>
      <c r="AL8" s="19">
        <v>23</v>
      </c>
      <c r="AM8" s="19">
        <v>28</v>
      </c>
      <c r="AN8" s="19">
        <v>34</v>
      </c>
      <c r="AO8" s="23"/>
      <c r="AP8" s="18" t="s">
        <v>23</v>
      </c>
      <c r="AW8" s="37"/>
      <c r="AY8" s="19">
        <v>0</v>
      </c>
      <c r="AZ8" s="19">
        <v>0</v>
      </c>
      <c r="BA8" s="19">
        <v>0</v>
      </c>
      <c r="BB8" s="19"/>
      <c r="BC8" s="19">
        <v>0</v>
      </c>
      <c r="BD8" s="19">
        <v>0</v>
      </c>
    </row>
    <row r="9" spans="1:58" ht="21.75" x14ac:dyDescent="0.45">
      <c r="A9" s="18" t="s">
        <v>24</v>
      </c>
      <c r="B9" s="19">
        <v>32210</v>
      </c>
      <c r="C9" s="19">
        <v>32205.07868601986</v>
      </c>
      <c r="D9" s="19">
        <v>4.9213139801375094</v>
      </c>
      <c r="E9" s="37">
        <v>1.5278838808250572E-4</v>
      </c>
      <c r="F9" s="24">
        <v>1.7357510765612892E-2</v>
      </c>
      <c r="G9" s="19">
        <v>1353.0786860198605</v>
      </c>
      <c r="H9" s="19">
        <v>55</v>
      </c>
      <c r="I9" s="19">
        <v>700.11040621782308</v>
      </c>
      <c r="J9" s="19">
        <v>8</v>
      </c>
      <c r="K9" s="19">
        <v>5</v>
      </c>
      <c r="L9" s="19">
        <v>50</v>
      </c>
      <c r="M9" s="19">
        <v>92000</v>
      </c>
      <c r="N9" s="37">
        <v>0.32093297101449275</v>
      </c>
      <c r="O9" s="163" t="s">
        <v>995</v>
      </c>
      <c r="P9" s="174">
        <v>2.9175724637681162</v>
      </c>
      <c r="Q9" s="166" t="s">
        <v>999</v>
      </c>
      <c r="R9" s="166">
        <v>5.6727272727272728</v>
      </c>
      <c r="S9" s="37">
        <v>-4.6913099275620054E-2</v>
      </c>
      <c r="T9" s="32">
        <v>21.32</v>
      </c>
      <c r="U9" s="18">
        <v>48</v>
      </c>
      <c r="V9" s="37">
        <v>0.44416666666666665</v>
      </c>
      <c r="W9" s="19">
        <v>1510.5571616332018</v>
      </c>
      <c r="X9" s="32">
        <v>15.8</v>
      </c>
      <c r="Y9" s="32">
        <v>10.62</v>
      </c>
      <c r="Z9" s="32">
        <v>3.25</v>
      </c>
      <c r="AA9" s="32">
        <v>17.2</v>
      </c>
      <c r="AB9" s="32">
        <v>6.9</v>
      </c>
      <c r="AC9" s="86">
        <v>53.77</v>
      </c>
      <c r="AD9" s="24">
        <v>5.0000000000000001E-3</v>
      </c>
      <c r="AE9" s="24">
        <v>0.01</v>
      </c>
      <c r="AF9" s="24">
        <v>0.03</v>
      </c>
      <c r="AG9" s="24">
        <v>0.05</v>
      </c>
      <c r="AH9" s="19">
        <v>35935.677446089845</v>
      </c>
      <c r="AI9" s="19">
        <v>44586.172976034388</v>
      </c>
      <c r="AJ9" s="19">
        <v>55090.030724926466</v>
      </c>
      <c r="AK9" s="19">
        <v>1438.2636443882061</v>
      </c>
      <c r="AL9" s="19">
        <v>25</v>
      </c>
      <c r="AM9" s="19">
        <v>31</v>
      </c>
      <c r="AN9" s="19">
        <v>39</v>
      </c>
      <c r="AO9" s="23"/>
      <c r="AP9" s="18" t="s">
        <v>24</v>
      </c>
      <c r="AW9" s="37"/>
      <c r="AY9" s="19">
        <v>0</v>
      </c>
      <c r="AZ9" s="19">
        <v>0</v>
      </c>
      <c r="BA9" s="19">
        <v>0</v>
      </c>
      <c r="BB9" s="19"/>
      <c r="BC9" s="19">
        <v>0</v>
      </c>
      <c r="BD9" s="19">
        <v>0</v>
      </c>
    </row>
    <row r="10" spans="1:58" ht="21.75" x14ac:dyDescent="0.45">
      <c r="A10" s="18" t="s">
        <v>159</v>
      </c>
      <c r="B10" s="19">
        <v>19790</v>
      </c>
      <c r="C10" s="19">
        <v>19671.537930240589</v>
      </c>
      <c r="D10" s="19">
        <v>118.46206975941062</v>
      </c>
      <c r="E10" s="37">
        <v>5.9859560262461153E-3</v>
      </c>
      <c r="F10" s="24">
        <v>1.1234505445568744E-2</v>
      </c>
      <c r="G10" s="19">
        <v>-10415.462069759411</v>
      </c>
      <c r="H10" s="19">
        <v>50</v>
      </c>
      <c r="I10" s="19">
        <v>855.28425783654734</v>
      </c>
      <c r="J10" s="19">
        <v>8</v>
      </c>
      <c r="K10" s="19">
        <v>5</v>
      </c>
      <c r="L10" s="19">
        <v>50</v>
      </c>
      <c r="M10" s="19">
        <v>46000</v>
      </c>
      <c r="N10" s="37">
        <v>0.35851449275362324</v>
      </c>
      <c r="O10" s="163" t="s">
        <v>996</v>
      </c>
      <c r="P10" s="174">
        <v>3.5851449275362315</v>
      </c>
      <c r="Q10" s="166" t="s">
        <v>992</v>
      </c>
      <c r="R10" s="166">
        <v>6.24</v>
      </c>
      <c r="S10" s="37">
        <v>-0.34617815235016491</v>
      </c>
      <c r="T10" s="32">
        <v>14.9</v>
      </c>
      <c r="U10" s="18">
        <v>26</v>
      </c>
      <c r="V10" s="37">
        <v>0.57307692307692304</v>
      </c>
      <c r="W10" s="19">
        <v>1320.2374449825897</v>
      </c>
      <c r="X10" s="32">
        <v>8.7799999999999994</v>
      </c>
      <c r="Y10" s="32">
        <v>7.71</v>
      </c>
      <c r="Z10" s="32">
        <v>6.82</v>
      </c>
      <c r="AA10" s="32">
        <v>18.38</v>
      </c>
      <c r="AB10" s="32">
        <v>1.08</v>
      </c>
      <c r="AC10" s="86">
        <v>42.769999999999996</v>
      </c>
      <c r="AD10" s="24">
        <v>0.01</v>
      </c>
      <c r="AE10" s="24">
        <v>0.01</v>
      </c>
      <c r="AF10" s="24">
        <v>0.03</v>
      </c>
      <c r="AG10" s="24">
        <v>0.05</v>
      </c>
      <c r="AH10" s="19">
        <v>22079.076580506615</v>
      </c>
      <c r="AI10" s="19">
        <v>27393.988301636775</v>
      </c>
      <c r="AJ10" s="19">
        <v>33847.615897121847</v>
      </c>
      <c r="AK10" s="19">
        <v>1611.411076566869</v>
      </c>
      <c r="AL10" s="19">
        <v>14</v>
      </c>
      <c r="AM10" s="19">
        <v>17</v>
      </c>
      <c r="AN10" s="19">
        <v>22</v>
      </c>
      <c r="AO10" s="23"/>
      <c r="AP10" s="18" t="s">
        <v>159</v>
      </c>
      <c r="AQ10" s="19">
        <v>4128</v>
      </c>
      <c r="AR10" s="19">
        <v>562</v>
      </c>
      <c r="AS10" s="19">
        <v>556.38</v>
      </c>
      <c r="AT10" s="19">
        <v>5.62</v>
      </c>
      <c r="AU10" s="18">
        <v>60</v>
      </c>
      <c r="AV10" s="19">
        <v>4000</v>
      </c>
      <c r="AW10" s="37">
        <v>0.10015308333333332</v>
      </c>
      <c r="AX10" s="18">
        <v>2</v>
      </c>
      <c r="AY10" s="19">
        <v>281</v>
      </c>
      <c r="AZ10" s="19">
        <v>4651.5337243847716</v>
      </c>
      <c r="BA10" s="19">
        <v>7413.2949138193489</v>
      </c>
      <c r="BB10" s="19">
        <v>1248</v>
      </c>
      <c r="BC10" s="19">
        <v>3.7271904842826697</v>
      </c>
      <c r="BD10" s="19">
        <v>5.9401401553039657</v>
      </c>
    </row>
    <row r="11" spans="1:58" ht="21.75" x14ac:dyDescent="0.45">
      <c r="A11" s="18" t="s">
        <v>26</v>
      </c>
      <c r="B11" s="19">
        <v>23051</v>
      </c>
      <c r="C11" s="19">
        <v>19232.991318074193</v>
      </c>
      <c r="D11" s="19">
        <v>3818.008681925809</v>
      </c>
      <c r="E11" s="37">
        <v>0.16563310407035742</v>
      </c>
      <c r="F11" s="24">
        <v>8.485419522164131E-2</v>
      </c>
      <c r="G11" s="19">
        <v>-8822.0086819258067</v>
      </c>
      <c r="H11" s="19">
        <v>45</v>
      </c>
      <c r="I11" s="19">
        <v>1068.4995176707885</v>
      </c>
      <c r="J11" s="19">
        <v>8</v>
      </c>
      <c r="K11" s="19">
        <v>5</v>
      </c>
      <c r="L11" s="19">
        <v>50</v>
      </c>
      <c r="M11" s="19">
        <v>36000</v>
      </c>
      <c r="N11" s="37">
        <v>0.48022916666666665</v>
      </c>
      <c r="O11" s="163" t="s">
        <v>993</v>
      </c>
      <c r="P11" s="174">
        <v>5.3358796296296296</v>
      </c>
      <c r="Q11" s="166" t="s">
        <v>992</v>
      </c>
      <c r="R11" s="166">
        <v>6.9333333333333336</v>
      </c>
      <c r="S11" s="37">
        <v>-0.27636817552147636</v>
      </c>
      <c r="T11" s="32">
        <v>13.5</v>
      </c>
      <c r="U11" s="18">
        <v>18</v>
      </c>
      <c r="V11" s="37">
        <v>0.75</v>
      </c>
      <c r="W11" s="19">
        <v>1424.6660235610514</v>
      </c>
      <c r="X11" s="32">
        <v>10.06</v>
      </c>
      <c r="Y11" s="32">
        <v>6.6</v>
      </c>
      <c r="Z11" s="32">
        <v>3.99</v>
      </c>
      <c r="AA11" s="32">
        <v>10.24</v>
      </c>
      <c r="AB11" s="32">
        <v>1.1200000000000001</v>
      </c>
      <c r="AC11" s="86">
        <v>32.01</v>
      </c>
      <c r="AD11" s="24">
        <v>1.9E-2</v>
      </c>
      <c r="AE11" s="24">
        <v>0.01</v>
      </c>
      <c r="AF11" s="24">
        <v>0.03</v>
      </c>
      <c r="AG11" s="24">
        <v>0.05</v>
      </c>
      <c r="AH11" s="19">
        <v>25717.271058982213</v>
      </c>
      <c r="AI11" s="19">
        <v>31907.974954069192</v>
      </c>
      <c r="AJ11" s="19">
        <v>39425.032543939145</v>
      </c>
      <c r="AK11" s="19">
        <v>1772.6652752260661</v>
      </c>
      <c r="AL11" s="19">
        <v>14</v>
      </c>
      <c r="AM11" s="19">
        <v>18</v>
      </c>
      <c r="AN11" s="19">
        <v>23</v>
      </c>
      <c r="AO11" s="23"/>
      <c r="AP11" s="18" t="s">
        <v>26</v>
      </c>
      <c r="AW11" s="37"/>
      <c r="AY11" s="19">
        <v>0</v>
      </c>
      <c r="AZ11" s="19">
        <v>0</v>
      </c>
      <c r="BA11" s="19">
        <v>0</v>
      </c>
      <c r="BB11" s="19"/>
      <c r="BC11" s="19">
        <v>0</v>
      </c>
      <c r="BD11" s="19">
        <v>0</v>
      </c>
    </row>
    <row r="12" spans="1:58" ht="21.75" x14ac:dyDescent="0.45">
      <c r="A12" s="18" t="s">
        <v>27</v>
      </c>
      <c r="B12" s="19">
        <v>8244</v>
      </c>
      <c r="C12" s="19">
        <v>8235.6534567544113</v>
      </c>
      <c r="D12" s="19">
        <v>8.3465432455886592</v>
      </c>
      <c r="E12" s="37">
        <v>1.0124385305177899E-3</v>
      </c>
      <c r="F12" s="24">
        <v>4.0555373262588207E-2</v>
      </c>
      <c r="G12" s="19">
        <v>-866.34654324558869</v>
      </c>
      <c r="H12" s="19">
        <v>55</v>
      </c>
      <c r="I12" s="19">
        <v>1647.1306913508822</v>
      </c>
      <c r="J12" s="19">
        <v>8</v>
      </c>
      <c r="K12" s="19">
        <v>5</v>
      </c>
      <c r="L12" s="19">
        <v>50</v>
      </c>
      <c r="M12" s="19">
        <v>10000</v>
      </c>
      <c r="N12" s="37">
        <v>0.75570000000000004</v>
      </c>
      <c r="O12" s="163" t="s">
        <v>992</v>
      </c>
      <c r="P12" s="174">
        <v>6.87</v>
      </c>
      <c r="Q12" s="166" t="s">
        <v>999</v>
      </c>
      <c r="R12" s="166">
        <v>5.6727272727272728</v>
      </c>
      <c r="S12" s="37">
        <v>0.99059960501644728</v>
      </c>
      <c r="T12" s="32">
        <v>7.15</v>
      </c>
      <c r="U12" s="18">
        <v>9</v>
      </c>
      <c r="V12" s="37">
        <v>0.79444444444444451</v>
      </c>
      <c r="W12" s="19">
        <v>1151.8396443013162</v>
      </c>
      <c r="X12" s="32">
        <v>7.84</v>
      </c>
      <c r="Y12" s="32">
        <v>2.33</v>
      </c>
      <c r="Z12" s="32">
        <v>1.71</v>
      </c>
      <c r="AA12" s="32">
        <v>10</v>
      </c>
      <c r="AB12" s="32">
        <v>1.05</v>
      </c>
      <c r="AC12" s="86">
        <v>22.93</v>
      </c>
      <c r="AD12" s="24">
        <v>1.7000000000000001E-2</v>
      </c>
      <c r="AE12" s="24">
        <v>0.01</v>
      </c>
      <c r="AF12" s="24">
        <v>0.03</v>
      </c>
      <c r="AG12" s="24">
        <v>0.05</v>
      </c>
      <c r="AH12" s="19">
        <v>9197.5698499088703</v>
      </c>
      <c r="AI12" s="19">
        <v>11411.624030252329</v>
      </c>
      <c r="AJ12" s="19">
        <v>14100.037668310892</v>
      </c>
      <c r="AK12" s="19">
        <v>1426.4530037815412</v>
      </c>
      <c r="AL12" s="19">
        <v>6</v>
      </c>
      <c r="AM12" s="19">
        <v>8</v>
      </c>
      <c r="AN12" s="19">
        <v>10</v>
      </c>
      <c r="AO12" s="23"/>
      <c r="AP12" s="18" t="s">
        <v>27</v>
      </c>
      <c r="AQ12" s="19">
        <v>3840</v>
      </c>
      <c r="AR12" s="19">
        <v>4082</v>
      </c>
      <c r="AS12" s="19">
        <v>4077.8672259184264</v>
      </c>
      <c r="AT12" s="19">
        <v>4.1327740815736185</v>
      </c>
      <c r="AU12" s="18">
        <v>90</v>
      </c>
      <c r="AV12" s="19">
        <v>6000</v>
      </c>
      <c r="AW12" s="37">
        <v>0.2600007222222222</v>
      </c>
      <c r="AX12" s="18">
        <v>3</v>
      </c>
      <c r="AY12" s="19">
        <v>1360.6666666666667</v>
      </c>
      <c r="AZ12" s="19">
        <v>4327.0081157067643</v>
      </c>
      <c r="BA12" s="19">
        <v>6896.0882919249761</v>
      </c>
      <c r="BB12" s="19">
        <v>1200</v>
      </c>
      <c r="BC12" s="19">
        <v>3.6058400964223036</v>
      </c>
      <c r="BD12" s="19">
        <v>5.7467402432708132</v>
      </c>
    </row>
    <row r="13" spans="1:58" ht="21.75" x14ac:dyDescent="0.45">
      <c r="A13" s="18" t="s">
        <v>28</v>
      </c>
      <c r="B13" s="19">
        <v>24622</v>
      </c>
      <c r="C13" s="19">
        <v>2669.6458518905297</v>
      </c>
      <c r="D13" s="19">
        <v>21952.354148109469</v>
      </c>
      <c r="E13" s="37">
        <v>0.89157477654575057</v>
      </c>
      <c r="F13" s="24">
        <v>0.30324765877436882</v>
      </c>
      <c r="G13" s="19">
        <v>-2284.645851890531</v>
      </c>
      <c r="H13" s="19">
        <v>60</v>
      </c>
      <c r="I13" s="19">
        <v>577.69353021340703</v>
      </c>
      <c r="J13" s="19">
        <v>8</v>
      </c>
      <c r="K13" s="19">
        <v>5</v>
      </c>
      <c r="L13" s="19">
        <v>50</v>
      </c>
      <c r="M13" s="19">
        <v>76000</v>
      </c>
      <c r="N13" s="37">
        <v>0.3239736842105263</v>
      </c>
      <c r="O13" s="163" t="s">
        <v>995</v>
      </c>
      <c r="P13" s="174">
        <v>2.6997807017543862</v>
      </c>
      <c r="Q13" s="166" t="s">
        <v>999</v>
      </c>
      <c r="R13" s="166">
        <v>5.2</v>
      </c>
      <c r="S13" s="37">
        <v>7.2583606040488316E-2</v>
      </c>
      <c r="T13" s="32">
        <v>28.35</v>
      </c>
      <c r="U13" s="18">
        <v>52</v>
      </c>
      <c r="V13" s="37">
        <v>0.54519230769230775</v>
      </c>
      <c r="W13" s="19">
        <v>774.33347965112762</v>
      </c>
      <c r="X13" s="32">
        <v>12.33</v>
      </c>
      <c r="Y13" s="32">
        <v>7.6</v>
      </c>
      <c r="Z13" s="32">
        <v>4.17</v>
      </c>
      <c r="AA13" s="32">
        <v>12.26</v>
      </c>
      <c r="AB13" s="32">
        <v>3.98</v>
      </c>
      <c r="AC13" s="86">
        <v>40.339999999999996</v>
      </c>
      <c r="AD13" s="24">
        <v>5.0000000000000001E-3</v>
      </c>
      <c r="AE13" s="24">
        <v>0.01</v>
      </c>
      <c r="AF13" s="24">
        <v>0.03</v>
      </c>
      <c r="AG13" s="24">
        <v>0.05</v>
      </c>
      <c r="AH13" s="19">
        <v>27469.986031593424</v>
      </c>
      <c r="AI13" s="19">
        <v>34082.606364977299</v>
      </c>
      <c r="AJ13" s="19">
        <v>42111.975675539878</v>
      </c>
      <c r="AK13" s="19">
        <v>1310.86947557605</v>
      </c>
      <c r="AL13" s="19">
        <v>21</v>
      </c>
      <c r="AM13" s="19">
        <v>26</v>
      </c>
      <c r="AN13" s="19">
        <v>33</v>
      </c>
      <c r="AO13" s="23"/>
      <c r="AP13" s="18" t="s">
        <v>28</v>
      </c>
      <c r="AW13" s="37"/>
      <c r="AY13" s="19">
        <v>0</v>
      </c>
      <c r="AZ13" s="19">
        <v>0</v>
      </c>
      <c r="BA13" s="19">
        <v>0</v>
      </c>
      <c r="BB13" s="19"/>
      <c r="BC13" s="19">
        <v>0</v>
      </c>
      <c r="BD13" s="19">
        <v>0</v>
      </c>
    </row>
    <row r="14" spans="1:58" ht="21.75" x14ac:dyDescent="0.45">
      <c r="A14" s="18" t="s">
        <v>162</v>
      </c>
      <c r="B14" s="19">
        <v>5345</v>
      </c>
      <c r="C14" s="19">
        <v>4346.5463733650422</v>
      </c>
      <c r="D14" s="19">
        <v>998.45362663495837</v>
      </c>
      <c r="E14" s="37">
        <v>0.18680142687277052</v>
      </c>
      <c r="F14" s="24">
        <v>0</v>
      </c>
      <c r="G14" s="19">
        <v>-282.4536266349578</v>
      </c>
      <c r="H14" s="19">
        <v>60</v>
      </c>
      <c r="I14" s="19">
        <v>869.30927467300842</v>
      </c>
      <c r="J14" s="19">
        <v>8</v>
      </c>
      <c r="K14" s="19">
        <v>5</v>
      </c>
      <c r="L14" s="19">
        <v>50</v>
      </c>
      <c r="M14" s="19">
        <v>10000</v>
      </c>
      <c r="N14" s="37">
        <v>0.53449999999999998</v>
      </c>
      <c r="O14" s="163" t="s">
        <v>996</v>
      </c>
      <c r="P14" s="174">
        <v>4.4541666666666666</v>
      </c>
      <c r="Q14" s="166" t="s">
        <v>999</v>
      </c>
      <c r="R14" s="166">
        <v>5.2</v>
      </c>
      <c r="S14" s="37">
        <v>0.31457440542472637</v>
      </c>
      <c r="T14" s="32">
        <v>3.96</v>
      </c>
      <c r="U14" s="18">
        <v>8</v>
      </c>
      <c r="V14" s="37">
        <v>0.495</v>
      </c>
      <c r="W14" s="19">
        <v>1097.6127205467278</v>
      </c>
      <c r="X14" s="32">
        <v>2.11</v>
      </c>
      <c r="Y14" s="32">
        <v>1.08</v>
      </c>
      <c r="Z14" s="32">
        <v>0.82</v>
      </c>
      <c r="AA14" s="32">
        <v>3.22</v>
      </c>
      <c r="AB14" s="32">
        <v>1.75</v>
      </c>
      <c r="AC14" s="86">
        <v>8.98</v>
      </c>
      <c r="AD14" s="24">
        <v>1.9E-2</v>
      </c>
      <c r="AE14" s="24">
        <v>0.01</v>
      </c>
      <c r="AF14" s="24">
        <v>0.03</v>
      </c>
      <c r="AG14" s="24">
        <v>0.05</v>
      </c>
      <c r="AH14" s="19">
        <v>5963.247312926117</v>
      </c>
      <c r="AI14" s="19">
        <v>7398.7300390221608</v>
      </c>
      <c r="AJ14" s="19">
        <v>9141.763869131697</v>
      </c>
      <c r="AK14" s="19">
        <v>1233.1216731703601</v>
      </c>
      <c r="AL14" s="19">
        <v>5</v>
      </c>
      <c r="AM14" s="19">
        <v>6</v>
      </c>
      <c r="AN14" s="19">
        <v>7</v>
      </c>
      <c r="AO14" s="23"/>
      <c r="AP14" s="18" t="s">
        <v>162</v>
      </c>
      <c r="AW14" s="37"/>
      <c r="AY14" s="19">
        <v>0</v>
      </c>
      <c r="AZ14" s="19">
        <v>0</v>
      </c>
      <c r="BA14" s="19">
        <v>0</v>
      </c>
      <c r="BB14" s="19"/>
      <c r="BC14" s="19">
        <v>0</v>
      </c>
      <c r="BD14" s="19">
        <v>0</v>
      </c>
    </row>
    <row r="15" spans="1:58" ht="21.75" x14ac:dyDescent="0.45">
      <c r="A15" s="18" t="s">
        <v>163</v>
      </c>
      <c r="B15" s="19"/>
      <c r="E15" s="37"/>
      <c r="F15" s="24"/>
      <c r="L15" s="19">
        <v>50</v>
      </c>
      <c r="N15" s="37"/>
      <c r="O15" s="163"/>
      <c r="P15" s="174"/>
      <c r="Q15" s="166"/>
      <c r="R15" s="166"/>
      <c r="S15" s="37"/>
      <c r="X15" s="32"/>
      <c r="Y15" s="32"/>
      <c r="Z15" s="32"/>
      <c r="AA15" s="32"/>
      <c r="AB15" s="32"/>
      <c r="AC15" s="86"/>
      <c r="AD15" s="24"/>
      <c r="AE15" s="24">
        <v>0.01</v>
      </c>
      <c r="AF15" s="24">
        <v>0.03</v>
      </c>
      <c r="AG15" s="24">
        <v>0.05</v>
      </c>
      <c r="AH15" s="19">
        <v>0</v>
      </c>
      <c r="AI15" s="19">
        <v>0</v>
      </c>
      <c r="AJ15" s="19">
        <v>0</v>
      </c>
      <c r="AK15" s="19">
        <v>0</v>
      </c>
      <c r="AL15" s="19">
        <v>0</v>
      </c>
      <c r="AM15" s="19">
        <v>0</v>
      </c>
      <c r="AN15" s="19">
        <v>0</v>
      </c>
      <c r="AO15" s="23"/>
      <c r="AP15" s="18" t="s">
        <v>163</v>
      </c>
      <c r="AW15" s="37"/>
      <c r="BB15" s="19"/>
    </row>
    <row r="16" spans="1:58" ht="21.75" x14ac:dyDescent="0.45">
      <c r="A16" s="18" t="s">
        <v>30</v>
      </c>
      <c r="B16" s="19">
        <v>15078</v>
      </c>
      <c r="C16" s="19">
        <v>14895.563643403349</v>
      </c>
      <c r="D16" s="19">
        <v>182.43635659665085</v>
      </c>
      <c r="E16" s="37">
        <v>1.2099506340141323E-2</v>
      </c>
      <c r="F16" s="24">
        <v>6.0420674339408038E-4</v>
      </c>
      <c r="G16" s="19">
        <v>288.56364340334949</v>
      </c>
      <c r="H16" s="19">
        <v>45</v>
      </c>
      <c r="I16" s="19">
        <v>709.31255444777855</v>
      </c>
      <c r="J16" s="19">
        <v>8</v>
      </c>
      <c r="K16" s="19">
        <v>5</v>
      </c>
      <c r="L16" s="19">
        <v>50</v>
      </c>
      <c r="M16" s="19">
        <v>42000</v>
      </c>
      <c r="N16" s="37">
        <v>0.26924999999999999</v>
      </c>
      <c r="O16" s="163" t="s">
        <v>995</v>
      </c>
      <c r="P16" s="174">
        <v>2.9916666666666667</v>
      </c>
      <c r="Q16" s="166" t="s">
        <v>992</v>
      </c>
      <c r="R16" s="166">
        <v>6.9333333333333336</v>
      </c>
      <c r="S16" s="37">
        <v>6.8314931050258584E-2</v>
      </c>
      <c r="T16" s="32">
        <v>11.35</v>
      </c>
      <c r="U16" s="18">
        <v>19</v>
      </c>
      <c r="V16" s="37">
        <v>0.59736842105263155</v>
      </c>
      <c r="W16" s="19">
        <v>1312.3844619738634</v>
      </c>
      <c r="X16" s="32">
        <v>6.49</v>
      </c>
      <c r="Y16" s="32">
        <v>1.98</v>
      </c>
      <c r="Z16" s="32">
        <v>3.07</v>
      </c>
      <c r="AA16" s="32">
        <v>16.86</v>
      </c>
      <c r="AB16" s="32">
        <v>3.42</v>
      </c>
      <c r="AC16" s="86">
        <v>31.82</v>
      </c>
      <c r="AD16" s="24">
        <v>0.02</v>
      </c>
      <c r="AE16" s="24">
        <v>0.01</v>
      </c>
      <c r="AF16" s="24">
        <v>0.03</v>
      </c>
      <c r="AG16" s="24">
        <v>0.05</v>
      </c>
      <c r="AH16" s="19">
        <v>16822.047331019643</v>
      </c>
      <c r="AI16" s="19">
        <v>20871.478302783187</v>
      </c>
      <c r="AJ16" s="19">
        <v>25788.496841677777</v>
      </c>
      <c r="AK16" s="19">
        <v>1739.2898585652656</v>
      </c>
      <c r="AL16" s="19">
        <v>10</v>
      </c>
      <c r="AM16" s="19">
        <v>12</v>
      </c>
      <c r="AN16" s="19">
        <v>15</v>
      </c>
      <c r="AO16" s="23"/>
      <c r="AP16" s="18" t="s">
        <v>30</v>
      </c>
      <c r="AW16" s="37"/>
      <c r="AY16" s="19">
        <v>0</v>
      </c>
      <c r="AZ16" s="19">
        <v>0</v>
      </c>
      <c r="BA16" s="19">
        <v>0</v>
      </c>
      <c r="BB16" s="19"/>
      <c r="BC16" s="19">
        <v>0</v>
      </c>
      <c r="BD16" s="19">
        <v>0</v>
      </c>
    </row>
    <row r="17" spans="1:56" ht="21.75" x14ac:dyDescent="0.45">
      <c r="A17" s="18" t="s">
        <v>31</v>
      </c>
      <c r="B17" s="19">
        <v>13206</v>
      </c>
      <c r="C17" s="19">
        <v>13176.500372300818</v>
      </c>
      <c r="D17" s="19">
        <v>29.499627699180937</v>
      </c>
      <c r="E17" s="37">
        <v>2.2338049143708115E-3</v>
      </c>
      <c r="F17" s="24">
        <v>0.14009789760873056</v>
      </c>
      <c r="G17" s="19">
        <v>-367.49962769918238</v>
      </c>
      <c r="H17" s="19">
        <v>50</v>
      </c>
      <c r="I17" s="19">
        <v>1464.055596922313</v>
      </c>
      <c r="J17" s="19">
        <v>8</v>
      </c>
      <c r="K17" s="19">
        <v>5</v>
      </c>
      <c r="L17" s="19">
        <v>50</v>
      </c>
      <c r="M17" s="19">
        <v>18000</v>
      </c>
      <c r="N17" s="37">
        <v>0.61138888888888887</v>
      </c>
      <c r="O17" s="163" t="s">
        <v>992</v>
      </c>
      <c r="P17" s="174">
        <v>6.1138888888888889</v>
      </c>
      <c r="Q17" s="166" t="s">
        <v>992</v>
      </c>
      <c r="R17" s="166">
        <v>6.24</v>
      </c>
      <c r="S17" s="37">
        <v>0.18905873937872444</v>
      </c>
      <c r="T17" s="32">
        <v>7.06</v>
      </c>
      <c r="U17" s="18">
        <v>10</v>
      </c>
      <c r="V17" s="37">
        <v>0.70599999999999996</v>
      </c>
      <c r="W17" s="19">
        <v>1866.3598261049317</v>
      </c>
      <c r="X17" s="32"/>
      <c r="Y17" s="32"/>
      <c r="Z17" s="32"/>
      <c r="AA17" s="32"/>
      <c r="AB17" s="32"/>
      <c r="AC17" s="86">
        <v>0</v>
      </c>
      <c r="AD17" s="24">
        <v>1.7999999999999999E-2</v>
      </c>
      <c r="AE17" s="24">
        <v>0.01</v>
      </c>
      <c r="AF17" s="24">
        <v>0.03</v>
      </c>
      <c r="AG17" s="24">
        <v>0.05</v>
      </c>
      <c r="AH17" s="19">
        <v>14733.51618606217</v>
      </c>
      <c r="AI17" s="19">
        <v>18280.192496787025</v>
      </c>
      <c r="AJ17" s="19">
        <v>22586.741563284038</v>
      </c>
      <c r="AK17" s="19">
        <v>1523.349374732252</v>
      </c>
      <c r="AL17" s="19">
        <v>9</v>
      </c>
      <c r="AM17" s="19">
        <v>12</v>
      </c>
      <c r="AN17" s="19">
        <v>14</v>
      </c>
      <c r="AO17" s="23"/>
      <c r="AP17" s="18" t="s">
        <v>31</v>
      </c>
      <c r="AW17" s="37"/>
      <c r="AY17" s="19">
        <v>0</v>
      </c>
      <c r="AZ17" s="19">
        <v>0</v>
      </c>
      <c r="BA17" s="19">
        <v>0</v>
      </c>
      <c r="BB17" s="19"/>
      <c r="BC17" s="19">
        <v>0</v>
      </c>
      <c r="BD17" s="19">
        <v>0</v>
      </c>
    </row>
    <row r="18" spans="1:56" ht="21.75" x14ac:dyDescent="0.45">
      <c r="A18" s="18" t="s">
        <v>32</v>
      </c>
      <c r="B18" s="19">
        <v>15463</v>
      </c>
      <c r="C18" s="19">
        <v>12603.516552456325</v>
      </c>
      <c r="D18" s="19">
        <v>2859.4834475436733</v>
      </c>
      <c r="E18" s="37">
        <v>0.18492423511244088</v>
      </c>
      <c r="F18" s="24">
        <v>1.5630558279514956E-2</v>
      </c>
      <c r="G18" s="19">
        <v>-2802.4834475436746</v>
      </c>
      <c r="H18" s="19">
        <v>45</v>
      </c>
      <c r="I18" s="19">
        <v>1260.3516552456326</v>
      </c>
      <c r="J18" s="19">
        <v>8</v>
      </c>
      <c r="K18" s="19">
        <v>5</v>
      </c>
      <c r="L18" s="19">
        <v>50</v>
      </c>
      <c r="M18" s="19">
        <v>20000</v>
      </c>
      <c r="N18" s="37">
        <v>0.57986249999999995</v>
      </c>
      <c r="O18" s="163" t="s">
        <v>999</v>
      </c>
      <c r="P18" s="174">
        <v>6.4429166666666662</v>
      </c>
      <c r="Q18" s="166" t="s">
        <v>992</v>
      </c>
      <c r="R18" s="166">
        <v>6.9333333333333336</v>
      </c>
      <c r="S18" s="37">
        <v>-0.10009942829404392</v>
      </c>
      <c r="T18" s="32">
        <v>5.5</v>
      </c>
      <c r="U18" s="18">
        <v>8</v>
      </c>
      <c r="V18" s="37">
        <v>0.6875</v>
      </c>
      <c r="W18" s="19">
        <v>2291.5484640829682</v>
      </c>
      <c r="X18" s="32">
        <v>7.31</v>
      </c>
      <c r="Y18" s="32">
        <v>1.64</v>
      </c>
      <c r="Z18" s="32">
        <v>2.12</v>
      </c>
      <c r="AA18" s="32">
        <v>6.87</v>
      </c>
      <c r="AB18" s="32">
        <v>1</v>
      </c>
      <c r="AC18" s="86">
        <v>18.940000000000001</v>
      </c>
      <c r="AD18" s="24">
        <v>0.01</v>
      </c>
      <c r="AE18" s="24">
        <v>0.01</v>
      </c>
      <c r="AF18" s="24">
        <v>0.03</v>
      </c>
      <c r="AG18" s="24">
        <v>0.05</v>
      </c>
      <c r="AH18" s="19">
        <v>17251.579644485792</v>
      </c>
      <c r="AI18" s="19">
        <v>21404.408343012099</v>
      </c>
      <c r="AJ18" s="19">
        <v>26446.977494552561</v>
      </c>
      <c r="AK18" s="19">
        <v>1783.7006952510083</v>
      </c>
      <c r="AL18" s="19">
        <v>10</v>
      </c>
      <c r="AM18" s="19">
        <v>12</v>
      </c>
      <c r="AN18" s="19">
        <v>15</v>
      </c>
      <c r="AO18" s="23"/>
      <c r="AP18" s="18" t="s">
        <v>32</v>
      </c>
      <c r="AQ18" s="19">
        <v>3600</v>
      </c>
      <c r="AR18" s="19">
        <v>3771</v>
      </c>
      <c r="AS18" s="19">
        <v>3073.6507093909854</v>
      </c>
      <c r="AT18" s="82">
        <v>697.34929060901459</v>
      </c>
      <c r="AU18" s="18">
        <v>60</v>
      </c>
      <c r="AV18" s="19">
        <v>8000</v>
      </c>
      <c r="AW18" s="37">
        <v>0.14879737500000001</v>
      </c>
      <c r="AX18" s="18">
        <v>4</v>
      </c>
      <c r="AY18" s="19">
        <v>942.75</v>
      </c>
      <c r="AZ18" s="19">
        <v>4056.5701084750913</v>
      </c>
      <c r="BA18" s="19">
        <v>6465.0827736796655</v>
      </c>
      <c r="BB18" s="19">
        <v>1248</v>
      </c>
      <c r="BC18" s="19">
        <v>3.2504568176883746</v>
      </c>
      <c r="BD18" s="19">
        <v>5.1803547866022956</v>
      </c>
    </row>
    <row r="19" spans="1:56" ht="21.75" x14ac:dyDescent="0.45">
      <c r="A19" s="18" t="s">
        <v>164</v>
      </c>
      <c r="B19" s="19">
        <v>5446</v>
      </c>
      <c r="C19" s="19">
        <v>5395.2913496195433</v>
      </c>
      <c r="D19" s="19">
        <v>50.708650380456547</v>
      </c>
      <c r="E19" s="37">
        <v>9.3111734080897068E-3</v>
      </c>
      <c r="F19" s="24">
        <v>0.38033163865093211</v>
      </c>
      <c r="G19" s="19">
        <v>-1133.7086503804567</v>
      </c>
      <c r="H19" s="19">
        <v>50</v>
      </c>
      <c r="I19" s="19">
        <v>539.52913496195436</v>
      </c>
      <c r="J19" s="19">
        <v>8</v>
      </c>
      <c r="K19" s="19">
        <v>5</v>
      </c>
      <c r="L19" s="19">
        <v>50</v>
      </c>
      <c r="M19" s="19">
        <v>20000</v>
      </c>
      <c r="N19" s="37">
        <v>0.22691666666666668</v>
      </c>
      <c r="O19" s="163" t="s">
        <v>995</v>
      </c>
      <c r="P19" s="174">
        <v>2.2691666666666666</v>
      </c>
      <c r="Q19" s="166" t="s">
        <v>992</v>
      </c>
      <c r="R19" s="166">
        <v>6.24</v>
      </c>
      <c r="S19" s="37">
        <v>-8.3704059513781872E-3</v>
      </c>
      <c r="T19" s="32">
        <v>9.2100000000000009</v>
      </c>
      <c r="U19" s="18">
        <v>13</v>
      </c>
      <c r="V19" s="37">
        <v>0.70846153846153848</v>
      </c>
      <c r="W19" s="19">
        <v>585.80796412807194</v>
      </c>
      <c r="X19" s="32">
        <v>5.61</v>
      </c>
      <c r="Y19" s="32">
        <v>1.88</v>
      </c>
      <c r="Z19" s="32">
        <v>2.0499999999999998</v>
      </c>
      <c r="AA19" s="32">
        <v>4.03</v>
      </c>
      <c r="AB19" s="32">
        <v>0.55000000000000004</v>
      </c>
      <c r="AC19" s="86">
        <v>14.120000000000001</v>
      </c>
      <c r="AD19" s="24">
        <v>5.0000000000000001E-3</v>
      </c>
      <c r="AE19" s="24">
        <v>0.01</v>
      </c>
      <c r="AF19" s="24">
        <v>0.03</v>
      </c>
      <c r="AG19" s="24">
        <v>0.05</v>
      </c>
      <c r="AH19" s="19">
        <v>6075.9298159393138</v>
      </c>
      <c r="AI19" s="19">
        <v>7538.53765996533</v>
      </c>
      <c r="AJ19" s="19">
        <v>9314.5081443014442</v>
      </c>
      <c r="AK19" s="19">
        <v>1507.7075319930659</v>
      </c>
      <c r="AL19" s="19">
        <v>4</v>
      </c>
      <c r="AM19" s="19">
        <v>5</v>
      </c>
      <c r="AN19" s="19">
        <v>6</v>
      </c>
      <c r="AO19" s="23"/>
      <c r="AP19" s="18" t="s">
        <v>164</v>
      </c>
      <c r="AQ19" s="19">
        <v>6000</v>
      </c>
      <c r="AR19" s="19">
        <v>393</v>
      </c>
      <c r="AS19" s="19">
        <v>0</v>
      </c>
      <c r="AT19" s="19">
        <v>0</v>
      </c>
      <c r="AU19" s="18">
        <v>60</v>
      </c>
      <c r="AV19" s="19">
        <v>4000</v>
      </c>
      <c r="AW19" s="37">
        <v>2.31215E-2</v>
      </c>
      <c r="AX19" s="18">
        <v>2</v>
      </c>
      <c r="AY19" s="19">
        <v>196.5</v>
      </c>
      <c r="AZ19" s="19">
        <v>6760.9501807918186</v>
      </c>
      <c r="BA19" s="19">
        <v>10775.137956132776</v>
      </c>
      <c r="BB19" s="119">
        <v>1248</v>
      </c>
      <c r="BC19" s="19">
        <v>5.4174280294806243</v>
      </c>
      <c r="BD19" s="19">
        <v>8.63392464433716</v>
      </c>
    </row>
    <row r="20" spans="1:56" s="26" customFormat="1" x14ac:dyDescent="0.45">
      <c r="A20" s="28" t="s">
        <v>34</v>
      </c>
      <c r="B20" s="29">
        <v>288441</v>
      </c>
      <c r="C20" s="29">
        <v>248593.89928022577</v>
      </c>
      <c r="D20" s="29">
        <v>39847.100719774251</v>
      </c>
      <c r="E20" s="38">
        <v>0.13814645185592289</v>
      </c>
      <c r="F20" s="38">
        <v>0.19631213855730337</v>
      </c>
      <c r="G20" s="29">
        <v>12994.607576444674</v>
      </c>
      <c r="H20" s="29">
        <v>49.964689485891398</v>
      </c>
      <c r="I20" s="29">
        <v>894.22265928138768</v>
      </c>
      <c r="J20" s="29">
        <v>8</v>
      </c>
      <c r="K20" s="29">
        <v>5</v>
      </c>
      <c r="L20" s="29">
        <v>50</v>
      </c>
      <c r="M20" s="29">
        <v>554000</v>
      </c>
      <c r="N20" s="38">
        <v>0.43356994584837549</v>
      </c>
      <c r="O20" s="164" t="s">
        <v>996</v>
      </c>
      <c r="P20" s="175">
        <v>4.3231564748201441</v>
      </c>
      <c r="Q20" s="164" t="s">
        <v>992</v>
      </c>
      <c r="R20" s="164">
        <v>6.2444098664537862</v>
      </c>
      <c r="S20" s="38">
        <v>2.4446671440765552E-2</v>
      </c>
      <c r="T20" s="39">
        <v>154.74</v>
      </c>
      <c r="U20" s="29">
        <v>272</v>
      </c>
      <c r="V20" s="38">
        <v>0.56889705882352948</v>
      </c>
      <c r="W20" s="29">
        <v>1606.5264267818648</v>
      </c>
      <c r="X20" s="87">
        <v>102.04</v>
      </c>
      <c r="Y20" s="87">
        <v>66.799999999999983</v>
      </c>
      <c r="Z20" s="87">
        <v>41.44</v>
      </c>
      <c r="AA20" s="87">
        <v>139.34</v>
      </c>
      <c r="AB20" s="87">
        <v>38.56</v>
      </c>
      <c r="AC20" s="87">
        <v>388.17999999999995</v>
      </c>
      <c r="AD20" s="98">
        <v>1.192325488195789E-2</v>
      </c>
      <c r="AE20" s="98">
        <v>0.01</v>
      </c>
      <c r="AF20" s="98">
        <v>0.03</v>
      </c>
      <c r="AG20" s="98">
        <v>0.05</v>
      </c>
      <c r="AH20" s="31">
        <v>321804.49358049064</v>
      </c>
      <c r="AI20" s="31">
        <v>399269.80190562975</v>
      </c>
      <c r="AJ20" s="31">
        <v>493331.99479442759</v>
      </c>
      <c r="AK20" s="31">
        <v>1559.6476636938662</v>
      </c>
      <c r="AL20" s="31">
        <v>205</v>
      </c>
      <c r="AM20" s="31">
        <v>256</v>
      </c>
      <c r="AN20" s="31">
        <v>317</v>
      </c>
      <c r="AP20" s="28" t="s">
        <v>34</v>
      </c>
      <c r="AQ20" s="28">
        <v>18468</v>
      </c>
      <c r="AR20" s="28">
        <v>8287.4283205373631</v>
      </c>
      <c r="AS20" s="28">
        <v>8287.4283205373631</v>
      </c>
      <c r="AT20" s="28"/>
      <c r="AU20" s="85">
        <v>0</v>
      </c>
      <c r="AV20" s="29">
        <v>24000</v>
      </c>
      <c r="AW20" s="38">
        <v>0</v>
      </c>
      <c r="AX20" s="28">
        <v>12</v>
      </c>
      <c r="AY20" s="28">
        <v>1539</v>
      </c>
      <c r="AZ20" s="28">
        <v>20810.204656477217</v>
      </c>
      <c r="BA20" s="28">
        <v>33165.874628976686</v>
      </c>
      <c r="BB20" s="28">
        <v>0</v>
      </c>
      <c r="BC20" s="28">
        <v>16.995172807402181</v>
      </c>
      <c r="BD20" s="28">
        <v>27.085738940710232</v>
      </c>
    </row>
    <row r="21" spans="1:56" x14ac:dyDescent="0.45">
      <c r="AN21" s="25"/>
    </row>
    <row r="22" spans="1:56" x14ac:dyDescent="0.45">
      <c r="A22" s="96"/>
      <c r="B22" s="96"/>
      <c r="F22" s="82"/>
      <c r="AK22" s="99"/>
      <c r="AM22" s="25"/>
      <c r="AN22" s="25"/>
      <c r="AP22" s="96"/>
      <c r="BB22" s="99"/>
    </row>
    <row r="23" spans="1:56" x14ac:dyDescent="0.45">
      <c r="A23" s="96"/>
      <c r="B23" s="96"/>
      <c r="F23" s="82"/>
      <c r="AP23" s="96"/>
    </row>
  </sheetData>
  <mergeCells count="1">
    <mergeCell ref="AQ1:BD1"/>
  </mergeCells>
  <pageMargins left="0.7" right="0.7" top="0.75" bottom="0.75" header="0.3" footer="0.3"/>
  <pageSetup orientation="portrait" horizontalDpi="1200" verticalDpi="1200"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H19"/>
  <sheetViews>
    <sheetView workbookViewId="0">
      <selection activeCell="D18" sqref="D18"/>
    </sheetView>
  </sheetViews>
  <sheetFormatPr defaultColWidth="9.140625" defaultRowHeight="21" x14ac:dyDescent="0.45"/>
  <cols>
    <col min="1" max="1" width="32.140625" style="18" bestFit="1" customWidth="1"/>
    <col min="2" max="2" width="9.28515625" style="19" customWidth="1"/>
    <col min="3" max="3" width="13" style="18" customWidth="1"/>
    <col min="4" max="4" width="9.140625" style="18"/>
    <col min="5" max="7" width="15.42578125" style="19" customWidth="1"/>
    <col min="8" max="8" width="80.7109375" style="18" customWidth="1"/>
    <col min="9" max="16384" width="9.140625" style="18"/>
  </cols>
  <sheetData>
    <row r="1" spans="1:8" s="23" customFormat="1" ht="87" x14ac:dyDescent="0.45">
      <c r="A1" s="20" t="s">
        <v>3</v>
      </c>
      <c r="B1" s="21" t="s">
        <v>230</v>
      </c>
      <c r="C1" s="21" t="s">
        <v>493</v>
      </c>
      <c r="E1" s="106" t="s">
        <v>231</v>
      </c>
      <c r="F1" s="106" t="s">
        <v>269</v>
      </c>
      <c r="G1" s="112" t="s">
        <v>494</v>
      </c>
      <c r="H1" s="104"/>
    </row>
    <row r="2" spans="1:8" x14ac:dyDescent="0.45">
      <c r="A2" s="18" t="s">
        <v>17</v>
      </c>
      <c r="B2" s="19">
        <v>12</v>
      </c>
      <c r="E2" s="19">
        <v>19</v>
      </c>
      <c r="F2" s="19">
        <f>IFERROR((#REF!*(1+#REF!)^12),0)</f>
        <v>0</v>
      </c>
      <c r="H2" s="18" t="s">
        <v>495</v>
      </c>
    </row>
    <row r="3" spans="1:8" x14ac:dyDescent="0.45">
      <c r="A3" s="18" t="s">
        <v>496</v>
      </c>
      <c r="B3" s="19">
        <v>10</v>
      </c>
      <c r="E3" s="19">
        <v>6</v>
      </c>
      <c r="F3" s="19">
        <v>1</v>
      </c>
      <c r="H3" s="18" t="s">
        <v>497</v>
      </c>
    </row>
    <row r="4" spans="1:8" x14ac:dyDescent="0.45">
      <c r="A4" s="18" t="s">
        <v>20</v>
      </c>
      <c r="B4" s="19">
        <v>2</v>
      </c>
      <c r="E4" s="19">
        <f>IFERROR((#REF!*(1+#REF!)^12),0)</f>
        <v>0</v>
      </c>
      <c r="F4" s="19">
        <v>2</v>
      </c>
    </row>
    <row r="5" spans="1:8" x14ac:dyDescent="0.45">
      <c r="A5" s="18" t="s">
        <v>21</v>
      </c>
      <c r="B5" s="19">
        <v>32</v>
      </c>
      <c r="C5" s="18">
        <v>1</v>
      </c>
      <c r="E5" s="19">
        <v>33</v>
      </c>
      <c r="F5" s="19">
        <v>10</v>
      </c>
      <c r="G5" s="19">
        <v>900</v>
      </c>
    </row>
    <row r="6" spans="1:8" x14ac:dyDescent="0.45">
      <c r="A6" s="18" t="s">
        <v>22</v>
      </c>
      <c r="B6" s="19">
        <v>7</v>
      </c>
      <c r="E6" s="19">
        <v>5</v>
      </c>
      <c r="F6" s="19">
        <v>1</v>
      </c>
    </row>
    <row r="7" spans="1:8" x14ac:dyDescent="0.45">
      <c r="A7" s="18" t="s">
        <v>498</v>
      </c>
      <c r="B7" s="19">
        <v>26</v>
      </c>
      <c r="E7" s="19">
        <v>24</v>
      </c>
      <c r="F7" s="19">
        <v>1</v>
      </c>
    </row>
    <row r="8" spans="1:8" x14ac:dyDescent="0.45">
      <c r="A8" s="18" t="s">
        <v>24</v>
      </c>
      <c r="B8" s="19">
        <v>42</v>
      </c>
      <c r="E8" s="19">
        <v>44</v>
      </c>
      <c r="F8" s="19">
        <v>2</v>
      </c>
    </row>
    <row r="9" spans="1:8" x14ac:dyDescent="0.45">
      <c r="A9" s="18" t="s">
        <v>499</v>
      </c>
      <c r="B9" s="19">
        <v>2</v>
      </c>
      <c r="E9" s="19">
        <f>IFERROR((#REF!*(1+#REF!)^12),0)</f>
        <v>0</v>
      </c>
      <c r="F9" s="19">
        <f>IFERROR((#REF!*(1+#REF!)^12),0)</f>
        <v>0</v>
      </c>
    </row>
    <row r="10" spans="1:8" x14ac:dyDescent="0.45">
      <c r="A10" s="18" t="s">
        <v>25</v>
      </c>
      <c r="B10" s="19">
        <v>23</v>
      </c>
      <c r="C10" s="18">
        <v>2</v>
      </c>
      <c r="E10" s="19">
        <v>22</v>
      </c>
      <c r="F10" s="19">
        <v>3</v>
      </c>
      <c r="G10" s="19">
        <v>4128</v>
      </c>
    </row>
    <row r="11" spans="1:8" x14ac:dyDescent="0.45">
      <c r="A11" s="18" t="s">
        <v>26</v>
      </c>
      <c r="B11" s="19">
        <v>19</v>
      </c>
      <c r="E11" s="19">
        <v>18</v>
      </c>
      <c r="F11" s="19">
        <v>6</v>
      </c>
      <c r="H11" s="18" t="s">
        <v>500</v>
      </c>
    </row>
    <row r="12" spans="1:8" x14ac:dyDescent="0.45">
      <c r="A12" s="18" t="s">
        <v>501</v>
      </c>
      <c r="B12" s="19">
        <v>11</v>
      </c>
      <c r="C12" s="18">
        <v>3</v>
      </c>
      <c r="E12" s="19">
        <v>5</v>
      </c>
      <c r="F12" s="19">
        <v>3</v>
      </c>
      <c r="G12" s="19">
        <v>3840</v>
      </c>
    </row>
    <row r="13" spans="1:8" x14ac:dyDescent="0.45">
      <c r="A13" s="18" t="s">
        <v>28</v>
      </c>
      <c r="B13" s="19">
        <v>45</v>
      </c>
      <c r="E13" s="19">
        <v>37</v>
      </c>
      <c r="F13" s="19">
        <v>2</v>
      </c>
    </row>
    <row r="14" spans="1:8" x14ac:dyDescent="0.45">
      <c r="A14" s="18" t="s">
        <v>29</v>
      </c>
      <c r="B14" s="19">
        <v>7</v>
      </c>
      <c r="E14" s="19">
        <v>3</v>
      </c>
      <c r="F14" s="19">
        <v>2</v>
      </c>
      <c r="H14" s="18" t="s">
        <v>502</v>
      </c>
    </row>
    <row r="15" spans="1:8" x14ac:dyDescent="0.45">
      <c r="A15" s="18" t="s">
        <v>30</v>
      </c>
      <c r="B15" s="19">
        <v>22</v>
      </c>
      <c r="E15" s="19">
        <v>20</v>
      </c>
      <c r="F15" s="19">
        <v>1</v>
      </c>
      <c r="H15" s="18" t="s">
        <v>503</v>
      </c>
    </row>
    <row r="16" spans="1:8" x14ac:dyDescent="0.45">
      <c r="A16" s="18" t="s">
        <v>31</v>
      </c>
      <c r="B16" s="19">
        <v>11</v>
      </c>
      <c r="E16" s="19">
        <v>9</v>
      </c>
      <c r="F16" s="19">
        <f>IFERROR((#REF!*(1+#REF!)^12),0)</f>
        <v>0</v>
      </c>
    </row>
    <row r="17" spans="1:8" x14ac:dyDescent="0.45">
      <c r="A17" s="18" t="s">
        <v>32</v>
      </c>
      <c r="B17" s="19">
        <v>11</v>
      </c>
      <c r="C17" s="18">
        <v>3</v>
      </c>
      <c r="E17" s="19">
        <v>11</v>
      </c>
      <c r="F17" s="19">
        <v>3</v>
      </c>
      <c r="G17" s="19">
        <v>3600</v>
      </c>
      <c r="H17" s="18" t="s">
        <v>504</v>
      </c>
    </row>
    <row r="18" spans="1:8" x14ac:dyDescent="0.45">
      <c r="A18" s="18" t="s">
        <v>33</v>
      </c>
      <c r="B18" s="19">
        <v>12</v>
      </c>
      <c r="C18" s="18">
        <v>3</v>
      </c>
      <c r="E18" s="19">
        <v>8</v>
      </c>
      <c r="F18" s="19">
        <v>2</v>
      </c>
      <c r="G18" s="19">
        <v>6000</v>
      </c>
    </row>
    <row r="19" spans="1:8" s="26" customFormat="1" x14ac:dyDescent="0.45">
      <c r="A19" s="28" t="s">
        <v>34</v>
      </c>
      <c r="B19" s="29">
        <f>SUM(B2:B18)</f>
        <v>294</v>
      </c>
      <c r="C19" s="28">
        <f>SUM(C2:C18)</f>
        <v>12</v>
      </c>
      <c r="E19" s="28">
        <f>SUM(E2:E18)</f>
        <v>264</v>
      </c>
      <c r="F19" s="28">
        <f>SUM(F2:F18)</f>
        <v>39</v>
      </c>
      <c r="G19" s="113">
        <f>SUM(G2:G18)</f>
        <v>18468</v>
      </c>
    </row>
  </sheetData>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H22"/>
  <sheetViews>
    <sheetView workbookViewId="0">
      <selection activeCell="N21" sqref="N21"/>
    </sheetView>
  </sheetViews>
  <sheetFormatPr defaultColWidth="9.140625" defaultRowHeight="21" x14ac:dyDescent="0.45"/>
  <cols>
    <col min="1" max="1" width="23.140625" style="18" bestFit="1" customWidth="1"/>
    <col min="2" max="2" width="15.7109375" style="18" customWidth="1"/>
    <col min="3" max="4" width="12.5703125" style="18" customWidth="1"/>
    <col min="5" max="5" width="3" style="18" customWidth="1"/>
    <col min="6" max="6" width="15.7109375" style="18" customWidth="1"/>
    <col min="7" max="8" width="12.5703125" style="18" customWidth="1"/>
    <col min="9" max="16384" width="9.140625" style="18"/>
  </cols>
  <sheetData>
    <row r="1" spans="1:8" s="26" customFormat="1" x14ac:dyDescent="0.45">
      <c r="B1" s="270" t="s">
        <v>505</v>
      </c>
      <c r="C1" s="270"/>
      <c r="D1" s="270"/>
      <c r="F1" s="270" t="s">
        <v>506</v>
      </c>
      <c r="G1" s="270"/>
      <c r="H1" s="270"/>
    </row>
    <row r="2" spans="1:8" s="26" customFormat="1" ht="43.5" x14ac:dyDescent="0.45">
      <c r="A2" s="120" t="s">
        <v>3</v>
      </c>
      <c r="B2" s="106" t="s">
        <v>507</v>
      </c>
      <c r="C2" s="106" t="s">
        <v>343</v>
      </c>
      <c r="D2" s="106" t="s">
        <v>508</v>
      </c>
      <c r="F2" s="53" t="s">
        <v>507</v>
      </c>
      <c r="G2" s="53" t="s">
        <v>343</v>
      </c>
      <c r="H2" s="53" t="s">
        <v>508</v>
      </c>
    </row>
    <row r="3" spans="1:8" x14ac:dyDescent="0.45">
      <c r="A3" s="18" t="s">
        <v>17</v>
      </c>
      <c r="B3" s="19">
        <v>27441</v>
      </c>
      <c r="F3" s="19"/>
    </row>
    <row r="4" spans="1:8" x14ac:dyDescent="0.45">
      <c r="A4" s="18" t="s">
        <v>496</v>
      </c>
      <c r="B4" s="19">
        <v>1273</v>
      </c>
      <c r="F4" s="19"/>
    </row>
    <row r="5" spans="1:8" x14ac:dyDescent="0.45">
      <c r="A5" s="18" t="s">
        <v>20</v>
      </c>
      <c r="B5" s="19">
        <v>1968</v>
      </c>
      <c r="F5" s="19"/>
    </row>
    <row r="6" spans="1:8" x14ac:dyDescent="0.45">
      <c r="A6" s="18" t="s">
        <v>21</v>
      </c>
      <c r="B6" s="19">
        <v>36033</v>
      </c>
      <c r="F6" s="122"/>
      <c r="G6" s="123"/>
      <c r="H6" s="123"/>
    </row>
    <row r="7" spans="1:8" x14ac:dyDescent="0.45">
      <c r="A7" s="18" t="s">
        <v>22</v>
      </c>
      <c r="B7" s="19">
        <v>33194</v>
      </c>
      <c r="F7" s="19"/>
    </row>
    <row r="8" spans="1:8" x14ac:dyDescent="0.45">
      <c r="A8" s="18" t="s">
        <v>23</v>
      </c>
      <c r="B8" s="19">
        <v>26077</v>
      </c>
      <c r="F8" s="19"/>
    </row>
    <row r="9" spans="1:8" x14ac:dyDescent="0.45">
      <c r="A9" s="18" t="s">
        <v>24</v>
      </c>
      <c r="B9" s="19">
        <v>32210</v>
      </c>
      <c r="F9" s="19"/>
    </row>
    <row r="10" spans="1:8" x14ac:dyDescent="0.45">
      <c r="A10" s="18" t="s">
        <v>25</v>
      </c>
      <c r="B10" s="19">
        <v>19790</v>
      </c>
      <c r="F10" s="122"/>
      <c r="G10" s="123"/>
      <c r="H10" s="123"/>
    </row>
    <row r="11" spans="1:8" x14ac:dyDescent="0.45">
      <c r="A11" s="18" t="s">
        <v>26</v>
      </c>
      <c r="B11" s="19">
        <v>23051</v>
      </c>
      <c r="F11" s="19"/>
    </row>
    <row r="12" spans="1:8" x14ac:dyDescent="0.45">
      <c r="A12" s="18" t="s">
        <v>27</v>
      </c>
      <c r="B12" s="19">
        <v>8244</v>
      </c>
      <c r="F12" s="122"/>
      <c r="G12" s="123"/>
      <c r="H12" s="123"/>
    </row>
    <row r="13" spans="1:8" x14ac:dyDescent="0.45">
      <c r="A13" s="18" t="s">
        <v>28</v>
      </c>
      <c r="B13" s="19">
        <v>24622</v>
      </c>
      <c r="F13" s="19"/>
    </row>
    <row r="14" spans="1:8" x14ac:dyDescent="0.45">
      <c r="A14" s="18" t="s">
        <v>29</v>
      </c>
      <c r="B14" s="19">
        <v>5345</v>
      </c>
      <c r="F14" s="19"/>
    </row>
    <row r="15" spans="1:8" x14ac:dyDescent="0.45">
      <c r="A15" s="18" t="s">
        <v>30</v>
      </c>
      <c r="B15" s="19">
        <v>15078</v>
      </c>
      <c r="F15" s="19"/>
    </row>
    <row r="16" spans="1:8" x14ac:dyDescent="0.45">
      <c r="A16" s="18" t="s">
        <v>31</v>
      </c>
      <c r="B16" s="19">
        <v>13206</v>
      </c>
      <c r="F16" s="19"/>
    </row>
    <row r="17" spans="1:8" x14ac:dyDescent="0.45">
      <c r="A17" s="18" t="s">
        <v>32</v>
      </c>
      <c r="B17" s="19">
        <v>15463</v>
      </c>
      <c r="F17" s="122"/>
      <c r="G17" s="123"/>
      <c r="H17" s="123"/>
    </row>
    <row r="18" spans="1:8" x14ac:dyDescent="0.45">
      <c r="A18" s="18" t="s">
        <v>33</v>
      </c>
      <c r="B18" s="19">
        <v>5446</v>
      </c>
      <c r="F18" s="122"/>
      <c r="G18" s="123"/>
      <c r="H18" s="123"/>
    </row>
    <row r="19" spans="1:8" x14ac:dyDescent="0.45">
      <c r="A19" s="121" t="s">
        <v>34</v>
      </c>
      <c r="B19" s="28">
        <v>288441</v>
      </c>
      <c r="C19" s="28"/>
      <c r="D19" s="28"/>
      <c r="F19" s="28"/>
      <c r="G19" s="28"/>
      <c r="H19" s="28"/>
    </row>
    <row r="20" spans="1:8" x14ac:dyDescent="0.45">
      <c r="F20" s="124" t="s">
        <v>509</v>
      </c>
      <c r="G20" s="125"/>
      <c r="H20" s="125"/>
    </row>
    <row r="21" spans="1:8" x14ac:dyDescent="0.45">
      <c r="F21" s="271" t="s">
        <v>510</v>
      </c>
      <c r="G21" s="271"/>
      <c r="H21" s="271"/>
    </row>
    <row r="22" spans="1:8" x14ac:dyDescent="0.45">
      <c r="F22" s="271"/>
      <c r="G22" s="271"/>
      <c r="H22" s="271"/>
    </row>
  </sheetData>
  <mergeCells count="3">
    <mergeCell ref="B1:D1"/>
    <mergeCell ref="F1:H1"/>
    <mergeCell ref="F21:H22"/>
  </mergeCells>
  <pageMargins left="0.7" right="0.7" top="0.75" bottom="0.75" header="0.3" footer="0.3"/>
  <pageSetup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sheetPr>
  <dimension ref="A5:H24"/>
  <sheetViews>
    <sheetView workbookViewId="0">
      <selection activeCell="E35" sqref="E35"/>
    </sheetView>
  </sheetViews>
  <sheetFormatPr defaultRowHeight="15" x14ac:dyDescent="0.25"/>
  <cols>
    <col min="1" max="1" width="29.140625" bestFit="1" customWidth="1"/>
    <col min="2" max="2" width="33.28515625" bestFit="1" customWidth="1"/>
    <col min="3" max="3" width="32.7109375" bestFit="1" customWidth="1"/>
    <col min="4" max="4" width="34.7109375" bestFit="1" customWidth="1"/>
    <col min="5" max="5" width="16.5703125" style="36" bestFit="1" customWidth="1"/>
    <col min="6" max="6" width="9.42578125" style="36" bestFit="1" customWidth="1"/>
    <col min="7" max="7" width="18.7109375" bestFit="1" customWidth="1"/>
    <col min="8" max="8" width="30" customWidth="1"/>
  </cols>
  <sheetData>
    <row r="5" spans="1:8" x14ac:dyDescent="0.25">
      <c r="A5" s="34" t="s">
        <v>942</v>
      </c>
      <c r="B5" s="34" t="s">
        <v>548</v>
      </c>
      <c r="C5" s="34" t="s">
        <v>943</v>
      </c>
      <c r="D5" s="34" t="s">
        <v>944</v>
      </c>
      <c r="E5" s="35" t="s">
        <v>945</v>
      </c>
      <c r="F5" s="35" t="s">
        <v>946</v>
      </c>
      <c r="G5" s="34" t="s">
        <v>947</v>
      </c>
      <c r="H5" s="34" t="s">
        <v>948</v>
      </c>
    </row>
    <row r="6" spans="1:8" x14ac:dyDescent="0.25">
      <c r="A6" t="s">
        <v>949</v>
      </c>
      <c r="B6" t="s">
        <v>950</v>
      </c>
      <c r="C6" t="s">
        <v>951</v>
      </c>
      <c r="D6" t="s">
        <v>952</v>
      </c>
      <c r="E6" s="36">
        <v>11.35</v>
      </c>
      <c r="F6" s="36">
        <v>2</v>
      </c>
      <c r="G6" s="52">
        <v>19</v>
      </c>
      <c r="H6">
        <v>2</v>
      </c>
    </row>
    <row r="7" spans="1:8" x14ac:dyDescent="0.25">
      <c r="A7" t="s">
        <v>949</v>
      </c>
      <c r="B7" t="s">
        <v>953</v>
      </c>
      <c r="C7" t="s">
        <v>954</v>
      </c>
      <c r="D7" t="s">
        <v>952</v>
      </c>
      <c r="E7" s="36">
        <v>7.06</v>
      </c>
      <c r="F7" s="36">
        <v>1</v>
      </c>
      <c r="G7">
        <v>10</v>
      </c>
      <c r="H7">
        <v>1</v>
      </c>
    </row>
    <row r="8" spans="1:8" x14ac:dyDescent="0.25">
      <c r="A8" t="s">
        <v>955</v>
      </c>
      <c r="B8" t="s">
        <v>956</v>
      </c>
      <c r="C8" t="s">
        <v>957</v>
      </c>
      <c r="D8" t="s">
        <v>952</v>
      </c>
      <c r="E8" s="36">
        <v>7.15</v>
      </c>
      <c r="F8" s="36">
        <v>1</v>
      </c>
      <c r="G8" s="52">
        <v>9</v>
      </c>
      <c r="H8">
        <v>1</v>
      </c>
    </row>
    <row r="9" spans="1:8" x14ac:dyDescent="0.25">
      <c r="A9" t="s">
        <v>955</v>
      </c>
      <c r="B9" t="s">
        <v>958</v>
      </c>
      <c r="C9" t="s">
        <v>959</v>
      </c>
      <c r="D9" t="s">
        <v>952</v>
      </c>
      <c r="E9" s="36">
        <v>4.8</v>
      </c>
      <c r="G9" s="52">
        <v>12</v>
      </c>
    </row>
    <row r="10" spans="1:8" x14ac:dyDescent="0.25">
      <c r="A10" t="s">
        <v>955</v>
      </c>
      <c r="B10" t="s">
        <v>960</v>
      </c>
      <c r="C10" t="s">
        <v>961</v>
      </c>
      <c r="D10" t="s">
        <v>952</v>
      </c>
      <c r="E10" s="36">
        <v>13.5</v>
      </c>
      <c r="G10" s="52">
        <v>18</v>
      </c>
    </row>
    <row r="11" spans="1:8" x14ac:dyDescent="0.25">
      <c r="A11" t="s">
        <v>955</v>
      </c>
      <c r="B11" t="s">
        <v>962</v>
      </c>
      <c r="C11" t="s">
        <v>963</v>
      </c>
      <c r="D11" t="s">
        <v>952</v>
      </c>
      <c r="E11" s="36">
        <v>10</v>
      </c>
      <c r="G11" s="52">
        <v>17</v>
      </c>
    </row>
    <row r="12" spans="1:8" x14ac:dyDescent="0.25">
      <c r="A12" t="s">
        <v>955</v>
      </c>
      <c r="B12" t="s">
        <v>964</v>
      </c>
      <c r="C12" t="s">
        <v>965</v>
      </c>
      <c r="D12" t="s">
        <v>952</v>
      </c>
      <c r="E12" s="36">
        <v>3.96</v>
      </c>
      <c r="G12" s="52">
        <v>8</v>
      </c>
    </row>
    <row r="13" spans="1:8" x14ac:dyDescent="0.25">
      <c r="A13" t="s">
        <v>955</v>
      </c>
      <c r="B13" t="s">
        <v>966</v>
      </c>
      <c r="C13" t="s">
        <v>967</v>
      </c>
      <c r="D13" t="s">
        <v>952</v>
      </c>
      <c r="E13" s="36">
        <v>5.5</v>
      </c>
      <c r="G13">
        <v>8</v>
      </c>
    </row>
    <row r="14" spans="1:8" x14ac:dyDescent="0.25">
      <c r="A14" t="s">
        <v>955</v>
      </c>
      <c r="B14" t="s">
        <v>968</v>
      </c>
      <c r="C14" t="s">
        <v>969</v>
      </c>
      <c r="D14" t="s">
        <v>952</v>
      </c>
      <c r="E14" s="36">
        <v>16.21</v>
      </c>
      <c r="G14" s="52">
        <v>24</v>
      </c>
    </row>
    <row r="15" spans="1:8" x14ac:dyDescent="0.25">
      <c r="A15" t="s">
        <v>955</v>
      </c>
      <c r="B15" t="s">
        <v>970</v>
      </c>
      <c r="C15" t="s">
        <v>971</v>
      </c>
      <c r="D15" t="s">
        <v>952</v>
      </c>
      <c r="E15" s="36">
        <v>9.2100000000000009</v>
      </c>
      <c r="G15">
        <v>13</v>
      </c>
    </row>
    <row r="16" spans="1:8" x14ac:dyDescent="0.25">
      <c r="A16" t="s">
        <v>955</v>
      </c>
      <c r="B16" t="s">
        <v>972</v>
      </c>
      <c r="C16" t="s">
        <v>973</v>
      </c>
      <c r="D16" t="s">
        <v>952</v>
      </c>
      <c r="E16" s="36">
        <v>21.32</v>
      </c>
      <c r="G16" s="52">
        <v>48</v>
      </c>
    </row>
    <row r="17" spans="1:7" x14ac:dyDescent="0.25">
      <c r="A17" t="s">
        <v>974</v>
      </c>
      <c r="B17" t="s">
        <v>975</v>
      </c>
      <c r="C17" t="s">
        <v>976</v>
      </c>
      <c r="D17" t="s">
        <v>952</v>
      </c>
      <c r="E17" s="36">
        <v>11.43</v>
      </c>
      <c r="G17" s="52">
        <v>25</v>
      </c>
    </row>
    <row r="18" spans="1:7" x14ac:dyDescent="0.25">
      <c r="A18" t="s">
        <v>974</v>
      </c>
      <c r="B18" t="s">
        <v>977</v>
      </c>
      <c r="C18" t="s">
        <v>978</v>
      </c>
      <c r="D18" t="s">
        <v>952</v>
      </c>
      <c r="E18" s="36">
        <v>27</v>
      </c>
      <c r="G18" s="52">
        <v>48</v>
      </c>
    </row>
    <row r="19" spans="1:7" x14ac:dyDescent="0.25">
      <c r="A19" t="s">
        <v>974</v>
      </c>
      <c r="B19" t="s">
        <v>979</v>
      </c>
      <c r="C19" t="s">
        <v>980</v>
      </c>
      <c r="D19" t="s">
        <v>952</v>
      </c>
      <c r="E19" s="36">
        <v>4.9000000000000004</v>
      </c>
      <c r="G19" s="52">
        <v>9</v>
      </c>
    </row>
    <row r="20" spans="1:7" x14ac:dyDescent="0.25">
      <c r="A20" t="s">
        <v>974</v>
      </c>
      <c r="B20" t="s">
        <v>981</v>
      </c>
      <c r="C20" t="s">
        <v>982</v>
      </c>
      <c r="D20" t="s">
        <v>952</v>
      </c>
      <c r="E20" s="36">
        <v>1.35</v>
      </c>
      <c r="G20" s="52">
        <v>4</v>
      </c>
    </row>
    <row r="24" spans="1:7" x14ac:dyDescent="0.25">
      <c r="G24">
        <f>150/270</f>
        <v>0.55555555555555558</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7"/>
  </sheetPr>
  <dimension ref="A1:S54"/>
  <sheetViews>
    <sheetView workbookViewId="0">
      <selection activeCell="E35" sqref="E35"/>
    </sheetView>
  </sheetViews>
  <sheetFormatPr defaultRowHeight="15" x14ac:dyDescent="0.25"/>
  <cols>
    <col min="1" max="1" width="20.7109375" customWidth="1"/>
    <col min="2" max="2" width="16.28515625" customWidth="1"/>
    <col min="3" max="3" width="5" customWidth="1"/>
    <col min="4" max="4" width="6" customWidth="1"/>
    <col min="5" max="5" width="6.42578125" customWidth="1"/>
    <col min="6" max="6" width="6.140625" customWidth="1"/>
    <col min="7" max="7" width="7" customWidth="1"/>
    <col min="8" max="8" width="12" customWidth="1"/>
    <col min="9" max="9" width="11.28515625" customWidth="1"/>
    <col min="10" max="10" width="19.140625" bestFit="1" customWidth="1"/>
    <col min="11" max="11" width="18.85546875" bestFit="1" customWidth="1"/>
    <col min="12" max="12" width="13" customWidth="1"/>
    <col min="13" max="13" width="17.28515625" customWidth="1"/>
    <col min="14" max="15" width="13" customWidth="1"/>
    <col min="16" max="18" width="15.140625" customWidth="1"/>
    <col min="19" max="19" width="23.42578125" bestFit="1" customWidth="1"/>
    <col min="20" max="20" width="24.42578125" bestFit="1" customWidth="1"/>
    <col min="21" max="21" width="20.28515625" bestFit="1" customWidth="1"/>
    <col min="22" max="22" width="30.7109375" bestFit="1" customWidth="1"/>
    <col min="23" max="23" width="27.140625" bestFit="1" customWidth="1"/>
    <col min="24" max="24" width="29.28515625" bestFit="1" customWidth="1"/>
    <col min="25" max="25" width="35.85546875" bestFit="1" customWidth="1"/>
    <col min="26" max="26" width="34.140625" bestFit="1" customWidth="1"/>
    <col min="27" max="27" width="31.42578125" bestFit="1" customWidth="1"/>
    <col min="28" max="28" width="37.7109375" bestFit="1" customWidth="1"/>
    <col min="29" max="29" width="34.5703125" bestFit="1" customWidth="1"/>
    <col min="30" max="30" width="34" bestFit="1" customWidth="1"/>
    <col min="31" max="31" width="36.5703125" bestFit="1" customWidth="1"/>
    <col min="32" max="32" width="27.5703125" bestFit="1" customWidth="1"/>
    <col min="33" max="33" width="28.140625" bestFit="1" customWidth="1"/>
    <col min="34" max="34" width="32.7109375" bestFit="1" customWidth="1"/>
    <col min="35" max="35" width="21" bestFit="1" customWidth="1"/>
    <col min="36" max="36" width="24.140625" bestFit="1" customWidth="1"/>
    <col min="37" max="37" width="23.5703125" bestFit="1" customWidth="1"/>
    <col min="38" max="38" width="28" bestFit="1" customWidth="1"/>
    <col min="39" max="39" width="27.42578125" bestFit="1" customWidth="1"/>
    <col min="40" max="40" width="30.5703125" bestFit="1" customWidth="1"/>
    <col min="41" max="41" width="39.28515625" bestFit="1" customWidth="1"/>
    <col min="42" max="42" width="37.140625" bestFit="1" customWidth="1"/>
    <col min="43" max="43" width="37.7109375" bestFit="1" customWidth="1"/>
    <col min="44" max="44" width="32.85546875" bestFit="1" customWidth="1"/>
    <col min="45" max="45" width="26.85546875" bestFit="1" customWidth="1"/>
    <col min="46" max="46" width="31" bestFit="1" customWidth="1"/>
    <col min="47" max="47" width="30.42578125" bestFit="1" customWidth="1"/>
    <col min="48" max="48" width="37.28515625" bestFit="1" customWidth="1"/>
    <col min="49" max="49" width="22" bestFit="1" customWidth="1"/>
    <col min="50" max="50" width="30.7109375" bestFit="1" customWidth="1"/>
    <col min="51" max="51" width="20.140625" bestFit="1" customWidth="1"/>
    <col min="52" max="52" width="11.28515625" bestFit="1" customWidth="1"/>
  </cols>
  <sheetData>
    <row r="1" spans="1:19" x14ac:dyDescent="0.25">
      <c r="K1" s="9">
        <v>2080</v>
      </c>
    </row>
    <row r="2" spans="1:19" x14ac:dyDescent="0.25">
      <c r="K2" t="s">
        <v>534</v>
      </c>
    </row>
    <row r="3" spans="1:19" x14ac:dyDescent="0.25">
      <c r="A3" s="60" t="s">
        <v>535</v>
      </c>
      <c r="B3" s="60" t="s">
        <v>536</v>
      </c>
      <c r="L3" t="s">
        <v>145</v>
      </c>
      <c r="M3" t="s">
        <v>142</v>
      </c>
      <c r="N3" t="s">
        <v>146</v>
      </c>
      <c r="O3" t="s">
        <v>143</v>
      </c>
      <c r="P3" t="s">
        <v>144</v>
      </c>
      <c r="Q3" t="s">
        <v>141</v>
      </c>
      <c r="R3" t="s">
        <v>140</v>
      </c>
      <c r="S3" t="s">
        <v>537</v>
      </c>
    </row>
    <row r="4" spans="1:19" x14ac:dyDescent="0.25">
      <c r="A4" s="60" t="s">
        <v>538</v>
      </c>
      <c r="B4" t="s">
        <v>140</v>
      </c>
      <c r="C4" t="s">
        <v>141</v>
      </c>
      <c r="D4" t="s">
        <v>142</v>
      </c>
      <c r="E4" t="s">
        <v>143</v>
      </c>
      <c r="F4" t="s">
        <v>144</v>
      </c>
      <c r="G4" t="s">
        <v>145</v>
      </c>
      <c r="H4" t="s">
        <v>146</v>
      </c>
      <c r="I4" t="s">
        <v>516</v>
      </c>
      <c r="K4" t="s">
        <v>539</v>
      </c>
      <c r="L4">
        <v>3.1100000000000003</v>
      </c>
      <c r="M4" s="61">
        <v>0.09</v>
      </c>
      <c r="N4" s="61">
        <v>0.26</v>
      </c>
      <c r="O4">
        <v>1.01</v>
      </c>
      <c r="P4">
        <v>0.8</v>
      </c>
      <c r="R4">
        <v>0.87</v>
      </c>
      <c r="S4">
        <f>SUM(P4:R4)</f>
        <v>1.67</v>
      </c>
    </row>
    <row r="5" spans="1:19" x14ac:dyDescent="0.25">
      <c r="A5" s="15" t="s">
        <v>539</v>
      </c>
      <c r="B5" s="61"/>
      <c r="C5" s="61">
        <v>0.87</v>
      </c>
      <c r="D5" s="61">
        <v>0.09</v>
      </c>
      <c r="E5" s="61">
        <v>1.01</v>
      </c>
      <c r="F5" s="61">
        <v>0.8</v>
      </c>
      <c r="G5" s="61">
        <v>3.1100000000000003</v>
      </c>
      <c r="H5" s="61">
        <v>0.26</v>
      </c>
      <c r="I5" s="61">
        <v>6.1400000000000006</v>
      </c>
      <c r="K5" t="s">
        <v>17</v>
      </c>
      <c r="L5">
        <v>9.2099999999999991</v>
      </c>
      <c r="M5" s="61">
        <v>3.8399999999999994</v>
      </c>
      <c r="N5" s="61">
        <v>1.83</v>
      </c>
      <c r="O5">
        <v>9.68</v>
      </c>
      <c r="P5">
        <v>0.1</v>
      </c>
      <c r="R5">
        <v>3.58</v>
      </c>
      <c r="S5">
        <f t="shared" ref="S5:S19" si="0">SUM(P5:R5)</f>
        <v>3.68</v>
      </c>
    </row>
    <row r="6" spans="1:19" x14ac:dyDescent="0.25">
      <c r="A6" s="15" t="s">
        <v>17</v>
      </c>
      <c r="B6" s="61"/>
      <c r="C6" s="61">
        <v>3.58</v>
      </c>
      <c r="D6" s="61">
        <v>3.8399999999999994</v>
      </c>
      <c r="E6" s="61">
        <v>9.68</v>
      </c>
      <c r="F6" s="61">
        <v>0.1</v>
      </c>
      <c r="G6" s="61">
        <v>9.2099999999999991</v>
      </c>
      <c r="H6" s="61">
        <v>1.83</v>
      </c>
      <c r="I6" s="61">
        <v>28.240000000000002</v>
      </c>
      <c r="K6" t="s">
        <v>540</v>
      </c>
      <c r="L6">
        <f>SUM(L4:L5)</f>
        <v>12.32</v>
      </c>
      <c r="M6">
        <f t="shared" ref="M6:R6" si="1">SUM(M4:M5)</f>
        <v>3.9299999999999993</v>
      </c>
      <c r="N6">
        <f t="shared" si="1"/>
        <v>2.09</v>
      </c>
      <c r="O6">
        <f t="shared" si="1"/>
        <v>10.69</v>
      </c>
      <c r="P6">
        <f t="shared" si="1"/>
        <v>0.9</v>
      </c>
      <c r="Q6">
        <f t="shared" si="1"/>
        <v>0</v>
      </c>
      <c r="R6">
        <f t="shared" si="1"/>
        <v>4.45</v>
      </c>
      <c r="S6">
        <f t="shared" si="0"/>
        <v>5.3500000000000005</v>
      </c>
    </row>
    <row r="7" spans="1:19" x14ac:dyDescent="0.25">
      <c r="A7" s="15" t="s">
        <v>20</v>
      </c>
      <c r="B7" s="61"/>
      <c r="C7" s="61"/>
      <c r="D7" s="61">
        <v>3.24</v>
      </c>
      <c r="E7" s="61"/>
      <c r="F7" s="61"/>
      <c r="G7" s="61"/>
      <c r="H7" s="61"/>
      <c r="I7" s="61">
        <v>3.24</v>
      </c>
      <c r="K7" t="s">
        <v>20</v>
      </c>
      <c r="M7" s="61">
        <v>3.24</v>
      </c>
      <c r="N7" s="61"/>
      <c r="S7">
        <f t="shared" si="0"/>
        <v>0</v>
      </c>
    </row>
    <row r="8" spans="1:19" x14ac:dyDescent="0.25">
      <c r="A8" s="15" t="s">
        <v>328</v>
      </c>
      <c r="B8" s="61">
        <v>0.94</v>
      </c>
      <c r="C8" s="61">
        <v>1</v>
      </c>
      <c r="D8" s="61">
        <v>4.68</v>
      </c>
      <c r="E8" s="61">
        <v>19.799999999999997</v>
      </c>
      <c r="F8" s="61">
        <v>10.24</v>
      </c>
      <c r="G8" s="61">
        <v>10.52</v>
      </c>
      <c r="H8" s="61">
        <v>7.24</v>
      </c>
      <c r="I8" s="61">
        <v>54.419999999999995</v>
      </c>
      <c r="K8" t="s">
        <v>328</v>
      </c>
      <c r="L8">
        <v>10.52</v>
      </c>
      <c r="M8" s="61">
        <v>4.68</v>
      </c>
      <c r="N8" s="61">
        <v>7.24</v>
      </c>
      <c r="O8">
        <v>19.799999999999997</v>
      </c>
      <c r="P8">
        <v>10.24</v>
      </c>
      <c r="Q8">
        <v>0.94</v>
      </c>
      <c r="R8">
        <v>1</v>
      </c>
      <c r="S8">
        <f t="shared" si="0"/>
        <v>12.18</v>
      </c>
    </row>
    <row r="9" spans="1:19" x14ac:dyDescent="0.25">
      <c r="A9" s="15" t="s">
        <v>541</v>
      </c>
      <c r="B9" s="61"/>
      <c r="C9" s="61"/>
      <c r="D9" s="61">
        <v>13.510000000000002</v>
      </c>
      <c r="E9" s="61">
        <v>9.7900000000000009</v>
      </c>
      <c r="F9" s="61">
        <v>0.18</v>
      </c>
      <c r="G9" s="61">
        <v>2.87</v>
      </c>
      <c r="H9" s="61">
        <v>4.1099999999999994</v>
      </c>
      <c r="I9" s="61">
        <v>30.460000000000004</v>
      </c>
      <c r="K9" t="s">
        <v>541</v>
      </c>
      <c r="L9">
        <v>2.87</v>
      </c>
      <c r="M9" s="61">
        <v>13.510000000000002</v>
      </c>
      <c r="N9" s="61">
        <v>4.1099999999999994</v>
      </c>
      <c r="O9">
        <v>9.7900000000000009</v>
      </c>
      <c r="P9">
        <v>0.18</v>
      </c>
      <c r="S9">
        <f t="shared" si="0"/>
        <v>0.18</v>
      </c>
    </row>
    <row r="10" spans="1:19" x14ac:dyDescent="0.25">
      <c r="A10" s="15" t="s">
        <v>24</v>
      </c>
      <c r="B10" s="61"/>
      <c r="C10" s="61"/>
      <c r="D10" s="61">
        <v>10.620000000000001</v>
      </c>
      <c r="E10" s="61">
        <v>17.199999999999996</v>
      </c>
      <c r="F10" s="61">
        <v>6.9</v>
      </c>
      <c r="G10" s="61">
        <v>15.8</v>
      </c>
      <c r="H10" s="61">
        <v>3.25</v>
      </c>
      <c r="I10" s="61">
        <v>53.769999999999996</v>
      </c>
      <c r="K10" t="s">
        <v>24</v>
      </c>
      <c r="L10">
        <v>15.8</v>
      </c>
      <c r="M10" s="61">
        <v>10.620000000000001</v>
      </c>
      <c r="N10" s="61">
        <v>3.25</v>
      </c>
      <c r="O10">
        <v>17.199999999999996</v>
      </c>
      <c r="P10">
        <v>6.9</v>
      </c>
      <c r="S10">
        <f t="shared" si="0"/>
        <v>6.9</v>
      </c>
    </row>
    <row r="11" spans="1:19" x14ac:dyDescent="0.25">
      <c r="A11" s="15" t="s">
        <v>392</v>
      </c>
      <c r="B11" s="61"/>
      <c r="C11" s="61"/>
      <c r="D11" s="61">
        <v>7.71</v>
      </c>
      <c r="E11" s="61">
        <v>18.38</v>
      </c>
      <c r="F11" s="61">
        <v>1.08</v>
      </c>
      <c r="G11" s="61">
        <v>8.7799999999999994</v>
      </c>
      <c r="H11" s="61">
        <v>6.8199999999999985</v>
      </c>
      <c r="I11" s="61">
        <v>42.77</v>
      </c>
      <c r="K11" t="s">
        <v>392</v>
      </c>
      <c r="L11">
        <v>8.7799999999999994</v>
      </c>
      <c r="M11" s="61">
        <v>7.71</v>
      </c>
      <c r="N11" s="61">
        <v>6.8199999999999985</v>
      </c>
      <c r="O11">
        <v>18.38</v>
      </c>
      <c r="P11">
        <v>1.08</v>
      </c>
      <c r="S11">
        <f t="shared" si="0"/>
        <v>1.08</v>
      </c>
    </row>
    <row r="12" spans="1:19" x14ac:dyDescent="0.25">
      <c r="A12" s="15" t="s">
        <v>74</v>
      </c>
      <c r="B12" s="61"/>
      <c r="C12" s="61"/>
      <c r="D12" s="61">
        <v>6.6</v>
      </c>
      <c r="E12" s="61">
        <v>10.24</v>
      </c>
      <c r="F12" s="61">
        <v>1.1200000000000001</v>
      </c>
      <c r="G12" s="61">
        <v>10.059999999999999</v>
      </c>
      <c r="H12" s="61">
        <v>3.99</v>
      </c>
      <c r="I12" s="61">
        <v>32.01</v>
      </c>
      <c r="K12" t="s">
        <v>74</v>
      </c>
      <c r="L12">
        <v>10.059999999999999</v>
      </c>
      <c r="M12" s="61">
        <v>6.6</v>
      </c>
      <c r="N12" s="61">
        <v>3.99</v>
      </c>
      <c r="O12">
        <v>10.24</v>
      </c>
      <c r="P12">
        <v>1.1200000000000001</v>
      </c>
      <c r="S12">
        <f t="shared" si="0"/>
        <v>1.1200000000000001</v>
      </c>
    </row>
    <row r="13" spans="1:19" x14ac:dyDescent="0.25">
      <c r="A13" s="15" t="s">
        <v>338</v>
      </c>
      <c r="B13" s="61"/>
      <c r="C13" s="61"/>
      <c r="D13" s="61">
        <v>2.33</v>
      </c>
      <c r="E13" s="61">
        <v>10</v>
      </c>
      <c r="F13" s="61">
        <v>1.05</v>
      </c>
      <c r="G13" s="61">
        <v>7.839999999999999</v>
      </c>
      <c r="H13" s="61">
        <v>1.71</v>
      </c>
      <c r="I13" s="61">
        <v>22.93</v>
      </c>
      <c r="K13" t="s">
        <v>338</v>
      </c>
      <c r="L13">
        <v>7.839999999999999</v>
      </c>
      <c r="M13" s="61">
        <v>2.33</v>
      </c>
      <c r="N13" s="61">
        <v>1.71</v>
      </c>
      <c r="O13">
        <v>10</v>
      </c>
      <c r="P13">
        <v>1.05</v>
      </c>
      <c r="S13">
        <f t="shared" si="0"/>
        <v>1.05</v>
      </c>
    </row>
    <row r="14" spans="1:19" x14ac:dyDescent="0.25">
      <c r="A14" s="15" t="s">
        <v>28</v>
      </c>
      <c r="B14" s="61"/>
      <c r="C14" s="61"/>
      <c r="D14" s="61">
        <v>7.6</v>
      </c>
      <c r="E14" s="61">
        <v>12.26</v>
      </c>
      <c r="F14" s="61">
        <v>3.9799999999999995</v>
      </c>
      <c r="G14" s="61">
        <v>12.329999999999998</v>
      </c>
      <c r="H14" s="61">
        <v>4.17</v>
      </c>
      <c r="I14" s="61">
        <v>40.340000000000003</v>
      </c>
      <c r="K14" t="s">
        <v>28</v>
      </c>
      <c r="L14">
        <v>12.329999999999998</v>
      </c>
      <c r="M14" s="61">
        <v>7.6</v>
      </c>
      <c r="N14" s="61">
        <v>4.17</v>
      </c>
      <c r="O14">
        <v>12.26</v>
      </c>
      <c r="P14">
        <v>3.9799999999999995</v>
      </c>
      <c r="S14">
        <f t="shared" si="0"/>
        <v>3.9799999999999995</v>
      </c>
    </row>
    <row r="15" spans="1:19" x14ac:dyDescent="0.25">
      <c r="A15" s="15" t="s">
        <v>136</v>
      </c>
      <c r="B15" s="61"/>
      <c r="C15" s="61"/>
      <c r="D15" s="61"/>
      <c r="E15" s="61">
        <v>0.56000000000000005</v>
      </c>
      <c r="F15" s="61">
        <v>0.1</v>
      </c>
      <c r="G15" s="61"/>
      <c r="H15" s="61">
        <v>0.30000000000000004</v>
      </c>
      <c r="I15" s="61">
        <v>0.96000000000000008</v>
      </c>
      <c r="K15" t="s">
        <v>136</v>
      </c>
      <c r="M15" s="61"/>
      <c r="N15" s="61">
        <v>0.30000000000000004</v>
      </c>
      <c r="O15">
        <v>0.56000000000000005</v>
      </c>
      <c r="P15">
        <v>0.1</v>
      </c>
      <c r="S15">
        <f t="shared" si="0"/>
        <v>0.1</v>
      </c>
    </row>
    <row r="16" spans="1:19" x14ac:dyDescent="0.25">
      <c r="A16" s="15" t="s">
        <v>542</v>
      </c>
      <c r="B16" s="61"/>
      <c r="C16" s="61"/>
      <c r="D16" s="61">
        <v>1.08</v>
      </c>
      <c r="E16" s="61">
        <v>3.2199999999999998</v>
      </c>
      <c r="F16" s="61">
        <v>1.75</v>
      </c>
      <c r="G16" s="61">
        <v>2.1100000000000003</v>
      </c>
      <c r="H16" s="61">
        <v>0.82</v>
      </c>
      <c r="I16" s="61">
        <v>8.98</v>
      </c>
      <c r="K16" t="s">
        <v>542</v>
      </c>
      <c r="L16">
        <v>2.1100000000000003</v>
      </c>
      <c r="M16" s="61">
        <v>1.08</v>
      </c>
      <c r="N16" s="61">
        <v>0.82</v>
      </c>
      <c r="O16">
        <v>3.2199999999999998</v>
      </c>
      <c r="P16">
        <v>1.75</v>
      </c>
      <c r="S16">
        <f t="shared" si="0"/>
        <v>1.75</v>
      </c>
    </row>
    <row r="17" spans="1:19" x14ac:dyDescent="0.25">
      <c r="A17" s="15" t="s">
        <v>30</v>
      </c>
      <c r="B17" s="61"/>
      <c r="C17" s="61"/>
      <c r="D17" s="61">
        <v>1.98</v>
      </c>
      <c r="E17" s="61">
        <v>16.86</v>
      </c>
      <c r="F17" s="61">
        <v>3.42</v>
      </c>
      <c r="G17" s="61">
        <v>6.49</v>
      </c>
      <c r="H17" s="61">
        <v>3.0700000000000003</v>
      </c>
      <c r="I17" s="61">
        <v>31.82</v>
      </c>
      <c r="K17" t="s">
        <v>30</v>
      </c>
      <c r="L17" s="61">
        <v>6.49</v>
      </c>
      <c r="M17" s="61">
        <v>1.98</v>
      </c>
      <c r="N17" s="61">
        <v>3.0700000000000003</v>
      </c>
      <c r="O17" s="61">
        <v>16.86</v>
      </c>
      <c r="P17" s="61">
        <v>3.42</v>
      </c>
      <c r="S17">
        <f t="shared" si="0"/>
        <v>3.42</v>
      </c>
    </row>
    <row r="18" spans="1:19" x14ac:dyDescent="0.25">
      <c r="A18" s="15" t="s">
        <v>33</v>
      </c>
      <c r="B18" s="61">
        <v>0.5</v>
      </c>
      <c r="C18" s="61"/>
      <c r="D18" s="61">
        <v>1.8800000000000001</v>
      </c>
      <c r="E18" s="61">
        <v>4.0299999999999994</v>
      </c>
      <c r="F18" s="61">
        <v>0.05</v>
      </c>
      <c r="G18" s="61">
        <v>5.61</v>
      </c>
      <c r="H18" s="61">
        <v>2.0499999999999998</v>
      </c>
      <c r="I18" s="61">
        <v>14.120000000000001</v>
      </c>
      <c r="K18" t="s">
        <v>33</v>
      </c>
      <c r="L18">
        <v>5.61</v>
      </c>
      <c r="M18" s="61">
        <v>1.8800000000000001</v>
      </c>
      <c r="N18" s="61">
        <v>2.0499999999999998</v>
      </c>
      <c r="O18">
        <v>4.0299999999999994</v>
      </c>
      <c r="P18">
        <v>0.05</v>
      </c>
      <c r="Q18">
        <v>0.5</v>
      </c>
      <c r="S18">
        <f t="shared" si="0"/>
        <v>0.55000000000000004</v>
      </c>
    </row>
    <row r="19" spans="1:19" x14ac:dyDescent="0.25">
      <c r="A19" s="15" t="s">
        <v>32</v>
      </c>
      <c r="B19" s="61"/>
      <c r="C19" s="61"/>
      <c r="D19" s="61">
        <v>1.6400000000000001</v>
      </c>
      <c r="E19" s="61">
        <v>6.87</v>
      </c>
      <c r="F19" s="61">
        <v>1</v>
      </c>
      <c r="G19" s="61">
        <v>7.3100000000000005</v>
      </c>
      <c r="H19" s="61">
        <v>2.12</v>
      </c>
      <c r="I19" s="61">
        <v>18.940000000000001</v>
      </c>
      <c r="K19" t="s">
        <v>32</v>
      </c>
      <c r="L19" s="61">
        <v>7.31</v>
      </c>
      <c r="M19" s="61">
        <v>1.6400000000000001</v>
      </c>
      <c r="N19" s="61">
        <v>2.12</v>
      </c>
      <c r="O19" s="61">
        <v>6.87</v>
      </c>
      <c r="P19" s="61">
        <v>1</v>
      </c>
      <c r="S19">
        <f t="shared" si="0"/>
        <v>1</v>
      </c>
    </row>
    <row r="20" spans="1:19" x14ac:dyDescent="0.25">
      <c r="A20" s="15" t="s">
        <v>516</v>
      </c>
      <c r="B20" s="61">
        <v>1.44</v>
      </c>
      <c r="C20" s="61">
        <v>5.45</v>
      </c>
      <c r="D20" s="61">
        <v>66.8</v>
      </c>
      <c r="E20" s="61">
        <v>139.9</v>
      </c>
      <c r="F20" s="61">
        <v>31.77</v>
      </c>
      <c r="G20" s="61">
        <v>102.04</v>
      </c>
      <c r="H20" s="61">
        <v>41.739999999999995</v>
      </c>
      <c r="I20" s="61">
        <v>389.13999999999993</v>
      </c>
    </row>
    <row r="21" spans="1:19" x14ac:dyDescent="0.25">
      <c r="K21" t="s">
        <v>543</v>
      </c>
    </row>
    <row r="22" spans="1:19" x14ac:dyDescent="0.25">
      <c r="K22" t="s">
        <v>540</v>
      </c>
      <c r="L22" s="1">
        <f t="shared" ref="L22:L33" si="2">L6*$K$1</f>
        <v>25625.600000000002</v>
      </c>
      <c r="M22" s="1">
        <f t="shared" ref="M22:S22" si="3">M6*$K$1</f>
        <v>8174.3999999999987</v>
      </c>
      <c r="N22" s="1">
        <f t="shared" si="3"/>
        <v>4347.2</v>
      </c>
      <c r="O22" s="1">
        <f t="shared" si="3"/>
        <v>22235.200000000001</v>
      </c>
      <c r="P22" s="1">
        <f t="shared" si="3"/>
        <v>1872</v>
      </c>
      <c r="Q22" s="1">
        <f t="shared" si="3"/>
        <v>0</v>
      </c>
      <c r="R22" s="1">
        <f t="shared" si="3"/>
        <v>9256</v>
      </c>
      <c r="S22" s="1">
        <f t="shared" si="3"/>
        <v>11128.000000000002</v>
      </c>
    </row>
    <row r="23" spans="1:19" x14ac:dyDescent="0.25">
      <c r="K23" t="s">
        <v>20</v>
      </c>
      <c r="L23" s="1">
        <f t="shared" si="2"/>
        <v>0</v>
      </c>
      <c r="M23" s="1">
        <f t="shared" ref="M23:S33" si="4">M7*$K$1</f>
        <v>6739.2000000000007</v>
      </c>
      <c r="N23" s="1">
        <f t="shared" si="4"/>
        <v>0</v>
      </c>
      <c r="O23" s="1">
        <f t="shared" si="4"/>
        <v>0</v>
      </c>
      <c r="P23" s="1">
        <f t="shared" si="4"/>
        <v>0</v>
      </c>
      <c r="Q23" s="1">
        <f t="shared" si="4"/>
        <v>0</v>
      </c>
      <c r="R23" s="1">
        <f t="shared" si="4"/>
        <v>0</v>
      </c>
      <c r="S23" s="1">
        <f t="shared" si="4"/>
        <v>0</v>
      </c>
    </row>
    <row r="24" spans="1:19" x14ac:dyDescent="0.25">
      <c r="K24" t="s">
        <v>328</v>
      </c>
      <c r="L24" s="1">
        <f t="shared" si="2"/>
        <v>21881.599999999999</v>
      </c>
      <c r="M24" s="1">
        <f t="shared" si="4"/>
        <v>9734.4</v>
      </c>
      <c r="N24" s="1">
        <f t="shared" si="4"/>
        <v>15059.2</v>
      </c>
      <c r="O24" s="1">
        <f t="shared" si="4"/>
        <v>41183.999999999993</v>
      </c>
      <c r="P24" s="1">
        <f t="shared" si="4"/>
        <v>21299.200000000001</v>
      </c>
      <c r="Q24" s="1">
        <f t="shared" si="4"/>
        <v>1955.1999999999998</v>
      </c>
      <c r="R24" s="1">
        <f t="shared" si="4"/>
        <v>2080</v>
      </c>
      <c r="S24" s="1">
        <f t="shared" si="4"/>
        <v>25334.399999999998</v>
      </c>
    </row>
    <row r="25" spans="1:19" x14ac:dyDescent="0.25">
      <c r="K25" t="s">
        <v>541</v>
      </c>
      <c r="L25" s="1">
        <f t="shared" si="2"/>
        <v>5969.6</v>
      </c>
      <c r="M25" s="1">
        <f t="shared" si="4"/>
        <v>28100.800000000003</v>
      </c>
      <c r="N25" s="1">
        <f t="shared" si="4"/>
        <v>8548.7999999999993</v>
      </c>
      <c r="O25" s="1">
        <f t="shared" si="4"/>
        <v>20363.2</v>
      </c>
      <c r="P25" s="1">
        <f t="shared" si="4"/>
        <v>374.4</v>
      </c>
      <c r="Q25" s="1">
        <f t="shared" si="4"/>
        <v>0</v>
      </c>
      <c r="R25" s="1">
        <f t="shared" si="4"/>
        <v>0</v>
      </c>
      <c r="S25" s="1">
        <f t="shared" si="4"/>
        <v>374.4</v>
      </c>
    </row>
    <row r="26" spans="1:19" x14ac:dyDescent="0.25">
      <c r="K26" t="s">
        <v>24</v>
      </c>
      <c r="L26" s="1">
        <f t="shared" si="2"/>
        <v>32864</v>
      </c>
      <c r="M26" s="1">
        <f t="shared" si="4"/>
        <v>22089.600000000002</v>
      </c>
      <c r="N26" s="1">
        <f t="shared" si="4"/>
        <v>6760</v>
      </c>
      <c r="O26" s="1">
        <f t="shared" si="4"/>
        <v>35775.999999999993</v>
      </c>
      <c r="P26" s="1">
        <f t="shared" si="4"/>
        <v>14352</v>
      </c>
      <c r="Q26" s="1">
        <f t="shared" si="4"/>
        <v>0</v>
      </c>
      <c r="R26" s="1">
        <f t="shared" si="4"/>
        <v>0</v>
      </c>
      <c r="S26" s="1">
        <f t="shared" si="4"/>
        <v>14352</v>
      </c>
    </row>
    <row r="27" spans="1:19" x14ac:dyDescent="0.25">
      <c r="K27" t="s">
        <v>392</v>
      </c>
      <c r="L27" s="1">
        <f t="shared" si="2"/>
        <v>18262.399999999998</v>
      </c>
      <c r="M27" s="1">
        <f t="shared" si="4"/>
        <v>16036.8</v>
      </c>
      <c r="N27" s="1">
        <f t="shared" si="4"/>
        <v>14185.599999999997</v>
      </c>
      <c r="O27" s="1">
        <f t="shared" si="4"/>
        <v>38230.400000000001</v>
      </c>
      <c r="P27" s="1">
        <f t="shared" si="4"/>
        <v>2246.4</v>
      </c>
      <c r="Q27" s="1">
        <f t="shared" si="4"/>
        <v>0</v>
      </c>
      <c r="R27" s="1">
        <f t="shared" si="4"/>
        <v>0</v>
      </c>
      <c r="S27" s="1">
        <f t="shared" si="4"/>
        <v>2246.4</v>
      </c>
    </row>
    <row r="28" spans="1:19" x14ac:dyDescent="0.25">
      <c r="K28" t="s">
        <v>74</v>
      </c>
      <c r="L28" s="1">
        <f t="shared" si="2"/>
        <v>20924.799999999996</v>
      </c>
      <c r="M28" s="1">
        <f t="shared" si="4"/>
        <v>13728</v>
      </c>
      <c r="N28" s="1">
        <f t="shared" si="4"/>
        <v>8299.2000000000007</v>
      </c>
      <c r="O28" s="1">
        <f t="shared" si="4"/>
        <v>21299.200000000001</v>
      </c>
      <c r="P28" s="1">
        <f t="shared" si="4"/>
        <v>2329.6000000000004</v>
      </c>
      <c r="Q28" s="1">
        <f t="shared" si="4"/>
        <v>0</v>
      </c>
      <c r="R28" s="1">
        <f t="shared" si="4"/>
        <v>0</v>
      </c>
      <c r="S28" s="1">
        <f t="shared" si="4"/>
        <v>2329.6000000000004</v>
      </c>
    </row>
    <row r="29" spans="1:19" x14ac:dyDescent="0.25">
      <c r="K29" t="s">
        <v>338</v>
      </c>
      <c r="L29" s="1">
        <f t="shared" si="2"/>
        <v>16307.199999999997</v>
      </c>
      <c r="M29" s="1">
        <f t="shared" si="4"/>
        <v>4846.4000000000005</v>
      </c>
      <c r="N29" s="1">
        <f t="shared" si="4"/>
        <v>3556.7999999999997</v>
      </c>
      <c r="O29" s="1">
        <f t="shared" si="4"/>
        <v>20800</v>
      </c>
      <c r="P29" s="1">
        <f t="shared" si="4"/>
        <v>2184</v>
      </c>
      <c r="Q29" s="1">
        <f t="shared" si="4"/>
        <v>0</v>
      </c>
      <c r="R29" s="1">
        <f t="shared" si="4"/>
        <v>0</v>
      </c>
      <c r="S29" s="1">
        <f t="shared" si="4"/>
        <v>2184</v>
      </c>
    </row>
    <row r="30" spans="1:19" x14ac:dyDescent="0.25">
      <c r="K30" t="s">
        <v>28</v>
      </c>
      <c r="L30" s="1">
        <f t="shared" si="2"/>
        <v>25646.399999999998</v>
      </c>
      <c r="M30" s="1">
        <f t="shared" si="4"/>
        <v>15808</v>
      </c>
      <c r="N30" s="1">
        <f t="shared" si="4"/>
        <v>8673.6</v>
      </c>
      <c r="O30" s="1">
        <f t="shared" si="4"/>
        <v>25500.799999999999</v>
      </c>
      <c r="P30" s="1">
        <f t="shared" si="4"/>
        <v>8278.4</v>
      </c>
      <c r="Q30" s="1">
        <f t="shared" si="4"/>
        <v>0</v>
      </c>
      <c r="R30" s="1">
        <f t="shared" si="4"/>
        <v>0</v>
      </c>
      <c r="S30" s="1">
        <f t="shared" si="4"/>
        <v>8278.4</v>
      </c>
    </row>
    <row r="31" spans="1:19" x14ac:dyDescent="0.25">
      <c r="K31" s="65" t="s">
        <v>136</v>
      </c>
      <c r="L31" s="66">
        <f t="shared" si="2"/>
        <v>0</v>
      </c>
      <c r="M31" s="66">
        <f t="shared" si="4"/>
        <v>0</v>
      </c>
      <c r="N31" s="66">
        <f t="shared" si="4"/>
        <v>624.00000000000011</v>
      </c>
      <c r="O31" s="66">
        <f t="shared" si="4"/>
        <v>1164.8000000000002</v>
      </c>
      <c r="P31" s="66">
        <f t="shared" si="4"/>
        <v>208</v>
      </c>
      <c r="Q31" s="66">
        <f t="shared" si="4"/>
        <v>0</v>
      </c>
      <c r="R31" s="66">
        <f t="shared" si="4"/>
        <v>0</v>
      </c>
      <c r="S31" s="66">
        <f t="shared" si="4"/>
        <v>208</v>
      </c>
    </row>
    <row r="32" spans="1:19" x14ac:dyDescent="0.25">
      <c r="K32" t="s">
        <v>542</v>
      </c>
      <c r="L32" s="1">
        <f t="shared" si="2"/>
        <v>4388.8000000000011</v>
      </c>
      <c r="M32" s="1">
        <f t="shared" si="4"/>
        <v>2246.4</v>
      </c>
      <c r="N32" s="1">
        <f t="shared" si="4"/>
        <v>1705.6</v>
      </c>
      <c r="O32" s="1">
        <f t="shared" si="4"/>
        <v>6697.5999999999995</v>
      </c>
      <c r="P32" s="1">
        <f t="shared" si="4"/>
        <v>3640</v>
      </c>
      <c r="Q32" s="1">
        <f t="shared" si="4"/>
        <v>0</v>
      </c>
      <c r="R32" s="1">
        <f t="shared" si="4"/>
        <v>0</v>
      </c>
      <c r="S32" s="1">
        <f t="shared" si="4"/>
        <v>3640</v>
      </c>
    </row>
    <row r="33" spans="10:19" x14ac:dyDescent="0.25">
      <c r="K33" t="s">
        <v>30</v>
      </c>
      <c r="L33" s="1">
        <f t="shared" si="2"/>
        <v>13499.2</v>
      </c>
      <c r="M33" s="1">
        <f t="shared" si="4"/>
        <v>4118.3999999999996</v>
      </c>
      <c r="N33" s="1">
        <f t="shared" si="4"/>
        <v>6385.6</v>
      </c>
      <c r="O33" s="1">
        <f t="shared" si="4"/>
        <v>35068.799999999996</v>
      </c>
      <c r="P33" s="1">
        <f t="shared" si="4"/>
        <v>7113.5999999999995</v>
      </c>
      <c r="Q33" s="1">
        <f t="shared" si="4"/>
        <v>0</v>
      </c>
      <c r="R33" s="1">
        <f t="shared" si="4"/>
        <v>0</v>
      </c>
      <c r="S33" s="1">
        <f t="shared" si="4"/>
        <v>7113.5999999999995</v>
      </c>
    </row>
    <row r="34" spans="10:19" x14ac:dyDescent="0.25">
      <c r="K34" t="s">
        <v>33</v>
      </c>
      <c r="L34" s="1">
        <f t="shared" ref="L34:S35" si="5">L18*$K$1</f>
        <v>11668.800000000001</v>
      </c>
      <c r="M34" s="1">
        <f t="shared" si="5"/>
        <v>3910.4</v>
      </c>
      <c r="N34" s="1">
        <f t="shared" si="5"/>
        <v>4264</v>
      </c>
      <c r="O34" s="1">
        <f t="shared" si="5"/>
        <v>8382.3999999999978</v>
      </c>
      <c r="P34" s="1">
        <f t="shared" si="5"/>
        <v>104</v>
      </c>
      <c r="Q34" s="1">
        <f t="shared" si="5"/>
        <v>1040</v>
      </c>
      <c r="R34" s="1">
        <f t="shared" si="5"/>
        <v>0</v>
      </c>
      <c r="S34" s="1">
        <f t="shared" si="5"/>
        <v>1144</v>
      </c>
    </row>
    <row r="35" spans="10:19" x14ac:dyDescent="0.25">
      <c r="K35" t="s">
        <v>32</v>
      </c>
      <c r="L35" s="1">
        <f>L19*$K$1</f>
        <v>15204.8</v>
      </c>
      <c r="M35" s="1">
        <f t="shared" si="5"/>
        <v>3411.2000000000003</v>
      </c>
      <c r="N35" s="1">
        <f t="shared" si="5"/>
        <v>4409.6000000000004</v>
      </c>
      <c r="O35" s="1">
        <f t="shared" si="5"/>
        <v>14289.6</v>
      </c>
      <c r="P35" s="1">
        <f t="shared" si="5"/>
        <v>2080</v>
      </c>
      <c r="Q35" s="1">
        <f t="shared" si="5"/>
        <v>0</v>
      </c>
      <c r="R35" s="1">
        <f t="shared" si="5"/>
        <v>0</v>
      </c>
      <c r="S35" s="1">
        <f t="shared" si="5"/>
        <v>2080</v>
      </c>
    </row>
    <row r="37" spans="10:19" x14ac:dyDescent="0.25">
      <c r="J37" t="s">
        <v>544</v>
      </c>
      <c r="K37" t="s">
        <v>545</v>
      </c>
      <c r="M37" t="s">
        <v>546</v>
      </c>
      <c r="N37" t="s">
        <v>145</v>
      </c>
      <c r="O37" t="s">
        <v>142</v>
      </c>
      <c r="P37" t="s">
        <v>146</v>
      </c>
      <c r="Q37" t="s">
        <v>143</v>
      </c>
      <c r="R37" t="s">
        <v>537</v>
      </c>
    </row>
    <row r="38" spans="10:19" ht="21" x14ac:dyDescent="0.45">
      <c r="K38" s="18" t="s">
        <v>17</v>
      </c>
      <c r="L38" s="67" t="s">
        <v>17</v>
      </c>
      <c r="M38" s="68" t="e">
        <f>VLOOKUP(L38,'2019 ACC Programming Overview'!A:U,12,FALSE)</f>
        <v>#N/A</v>
      </c>
      <c r="N38" s="2" t="e">
        <f>L22/$M38</f>
        <v>#N/A</v>
      </c>
      <c r="O38" s="2" t="e">
        <f t="shared" ref="O38:Q38" si="6">M22/$M38</f>
        <v>#N/A</v>
      </c>
      <c r="P38" s="2" t="e">
        <f t="shared" si="6"/>
        <v>#N/A</v>
      </c>
      <c r="Q38" s="2" t="e">
        <f t="shared" si="6"/>
        <v>#N/A</v>
      </c>
      <c r="R38" s="2" t="e">
        <f>S22/$M38</f>
        <v>#N/A</v>
      </c>
    </row>
    <row r="39" spans="10:19" ht="21" x14ac:dyDescent="0.45">
      <c r="K39" s="18" t="s">
        <v>496</v>
      </c>
      <c r="L39" s="67"/>
      <c r="M39" s="68" t="e">
        <f>VLOOKUP(L39,'2019 ACC Programming Overview'!A:U,12,FALSE)</f>
        <v>#N/A</v>
      </c>
      <c r="N39" s="2"/>
      <c r="O39" s="2"/>
      <c r="P39" s="2"/>
      <c r="Q39" s="2"/>
      <c r="R39" s="2"/>
    </row>
    <row r="40" spans="10:19" ht="21" x14ac:dyDescent="0.45">
      <c r="K40" s="18" t="s">
        <v>20</v>
      </c>
      <c r="L40" s="67" t="s">
        <v>20</v>
      </c>
      <c r="M40" s="68">
        <f>VLOOKUP(L40,'2019 ACC Programming Overview'!A:U,12,FALSE)</f>
        <v>50</v>
      </c>
      <c r="N40" s="2">
        <f t="shared" ref="N40:Q41" si="7">L23/$M40</f>
        <v>0</v>
      </c>
      <c r="O40" s="2">
        <f t="shared" si="7"/>
        <v>134.78400000000002</v>
      </c>
      <c r="P40" s="2">
        <f t="shared" si="7"/>
        <v>0</v>
      </c>
      <c r="Q40" s="2">
        <f t="shared" si="7"/>
        <v>0</v>
      </c>
      <c r="R40" s="2">
        <f>S23/$M40</f>
        <v>0</v>
      </c>
    </row>
    <row r="41" spans="10:19" ht="21" x14ac:dyDescent="0.45">
      <c r="K41" s="18" t="s">
        <v>21</v>
      </c>
      <c r="L41" s="67" t="s">
        <v>21</v>
      </c>
      <c r="M41" s="68">
        <f>VLOOKUP(L41,'2019 ACC Programming Overview'!A:U,12,FALSE)</f>
        <v>50</v>
      </c>
      <c r="N41" s="2">
        <f t="shared" si="7"/>
        <v>437.63199999999995</v>
      </c>
      <c r="O41" s="2">
        <f t="shared" si="7"/>
        <v>194.68799999999999</v>
      </c>
      <c r="P41" s="2">
        <f t="shared" si="7"/>
        <v>301.18400000000003</v>
      </c>
      <c r="Q41" s="2">
        <f t="shared" si="7"/>
        <v>823.67999999999984</v>
      </c>
      <c r="R41" s="2">
        <f>S24/$M41</f>
        <v>506.68799999999993</v>
      </c>
    </row>
    <row r="42" spans="10:19" ht="21" x14ac:dyDescent="0.45">
      <c r="K42" s="18" t="s">
        <v>22</v>
      </c>
      <c r="L42" s="67"/>
      <c r="M42" s="68" t="e">
        <f>VLOOKUP(L42,'2019 ACC Programming Overview'!A:U,12,FALSE)</f>
        <v>#N/A</v>
      </c>
      <c r="N42" s="2"/>
      <c r="O42" s="2"/>
      <c r="P42" s="2"/>
      <c r="Q42" s="2"/>
      <c r="R42" s="2"/>
    </row>
    <row r="43" spans="10:19" ht="21" x14ac:dyDescent="0.45">
      <c r="K43" s="18" t="s">
        <v>23</v>
      </c>
      <c r="L43" s="67" t="s">
        <v>23</v>
      </c>
      <c r="M43" s="68">
        <f>VLOOKUP(L43,'2019 ACC Programming Overview'!A:U,12,FALSE)</f>
        <v>50</v>
      </c>
      <c r="N43" s="2">
        <f t="shared" ref="N43:Q44" si="8">L25/$M43</f>
        <v>119.39200000000001</v>
      </c>
      <c r="O43" s="2">
        <f t="shared" si="8"/>
        <v>562.01600000000008</v>
      </c>
      <c r="P43" s="2">
        <f t="shared" si="8"/>
        <v>170.976</v>
      </c>
      <c r="Q43" s="2">
        <f t="shared" si="8"/>
        <v>407.26400000000001</v>
      </c>
      <c r="R43" s="2">
        <f>S25/$M43</f>
        <v>7.4879999999999995</v>
      </c>
    </row>
    <row r="44" spans="10:19" ht="21" x14ac:dyDescent="0.45">
      <c r="K44" s="18" t="s">
        <v>24</v>
      </c>
      <c r="L44" s="67" t="s">
        <v>24</v>
      </c>
      <c r="M44" s="68">
        <f>VLOOKUP(L44,'2019 ACC Programming Overview'!A:U,12,FALSE)</f>
        <v>50</v>
      </c>
      <c r="N44" s="2">
        <f t="shared" si="8"/>
        <v>657.28</v>
      </c>
      <c r="O44" s="2">
        <f t="shared" si="8"/>
        <v>441.79200000000003</v>
      </c>
      <c r="P44" s="2">
        <f t="shared" si="8"/>
        <v>135.19999999999999</v>
      </c>
      <c r="Q44" s="2">
        <f t="shared" si="8"/>
        <v>715.51999999999987</v>
      </c>
      <c r="R44" s="2">
        <f>S26/$M44</f>
        <v>287.04000000000002</v>
      </c>
    </row>
    <row r="45" spans="10:19" ht="21" x14ac:dyDescent="0.45">
      <c r="K45" s="18" t="s">
        <v>499</v>
      </c>
      <c r="L45" s="67"/>
      <c r="M45" s="68" t="e">
        <f>VLOOKUP(L45,'2019 ACC Programming Overview'!A:U,12,FALSE)</f>
        <v>#N/A</v>
      </c>
      <c r="N45" s="2"/>
      <c r="O45" s="2"/>
      <c r="P45" s="2"/>
      <c r="Q45" s="2"/>
      <c r="R45" s="2"/>
    </row>
    <row r="46" spans="10:19" ht="21" x14ac:dyDescent="0.45">
      <c r="K46" s="18" t="s">
        <v>25</v>
      </c>
      <c r="L46" s="67" t="s">
        <v>25</v>
      </c>
      <c r="M46" s="68" t="e">
        <f>VLOOKUP(L46,'2019 ACC Programming Overview'!A:U,12,FALSE)</f>
        <v>#N/A</v>
      </c>
      <c r="N46" s="2" t="e">
        <f t="shared" ref="N46:Q49" si="9">L27/$M46</f>
        <v>#N/A</v>
      </c>
      <c r="O46" s="2" t="e">
        <f t="shared" si="9"/>
        <v>#N/A</v>
      </c>
      <c r="P46" s="2" t="e">
        <f t="shared" si="9"/>
        <v>#N/A</v>
      </c>
      <c r="Q46" s="2" t="e">
        <f t="shared" si="9"/>
        <v>#N/A</v>
      </c>
      <c r="R46" s="2" t="e">
        <f>S27/$M46</f>
        <v>#N/A</v>
      </c>
    </row>
    <row r="47" spans="10:19" ht="21" x14ac:dyDescent="0.45">
      <c r="K47" s="18" t="s">
        <v>26</v>
      </c>
      <c r="L47" s="67" t="s">
        <v>26</v>
      </c>
      <c r="M47" s="68">
        <f>VLOOKUP(L47,'2019 ACC Programming Overview'!A:U,12,FALSE)</f>
        <v>50</v>
      </c>
      <c r="N47" s="2">
        <f t="shared" si="9"/>
        <v>418.49599999999992</v>
      </c>
      <c r="O47" s="2">
        <f t="shared" si="9"/>
        <v>274.56</v>
      </c>
      <c r="P47" s="2">
        <f t="shared" si="9"/>
        <v>165.98400000000001</v>
      </c>
      <c r="Q47" s="2">
        <f t="shared" si="9"/>
        <v>425.98400000000004</v>
      </c>
      <c r="R47" s="2">
        <f>S28/$M47</f>
        <v>46.592000000000006</v>
      </c>
    </row>
    <row r="48" spans="10:19" ht="21" x14ac:dyDescent="0.45">
      <c r="K48" s="18" t="s">
        <v>27</v>
      </c>
      <c r="L48" s="67" t="s">
        <v>27</v>
      </c>
      <c r="M48" s="68">
        <f>VLOOKUP(L48,'2019 ACC Programming Overview'!A:U,12,FALSE)</f>
        <v>50</v>
      </c>
      <c r="N48" s="2">
        <f>L29/$M48</f>
        <v>326.14399999999995</v>
      </c>
      <c r="O48" s="2">
        <f>M29/$M48</f>
        <v>96.928000000000011</v>
      </c>
      <c r="P48" s="2">
        <f>N29/$M48</f>
        <v>71.135999999999996</v>
      </c>
      <c r="Q48" s="2">
        <f>O29/$M48</f>
        <v>416</v>
      </c>
      <c r="R48" s="2">
        <f>S29/$M48</f>
        <v>43.68</v>
      </c>
    </row>
    <row r="49" spans="11:18" ht="21" x14ac:dyDescent="0.45">
      <c r="K49" s="18" t="s">
        <v>28</v>
      </c>
      <c r="L49" s="67" t="s">
        <v>28</v>
      </c>
      <c r="M49" s="68">
        <f>VLOOKUP(L49,'2019 ACC Programming Overview'!A:U,12,FALSE)</f>
        <v>50</v>
      </c>
      <c r="N49" s="2">
        <f t="shared" si="9"/>
        <v>512.928</v>
      </c>
      <c r="O49" s="2">
        <f t="shared" si="9"/>
        <v>316.16000000000003</v>
      </c>
      <c r="P49" s="2">
        <f t="shared" si="9"/>
        <v>173.47200000000001</v>
      </c>
      <c r="Q49" s="2">
        <f t="shared" si="9"/>
        <v>510.01599999999996</v>
      </c>
      <c r="R49" s="2">
        <f>S30/$M49</f>
        <v>165.56799999999998</v>
      </c>
    </row>
    <row r="50" spans="11:18" ht="21" x14ac:dyDescent="0.45">
      <c r="K50" s="18" t="s">
        <v>29</v>
      </c>
      <c r="L50" s="67" t="s">
        <v>29</v>
      </c>
      <c r="M50" s="68" t="e">
        <f>VLOOKUP(L50,'2019 ACC Programming Overview'!A:U,12,FALSE)</f>
        <v>#N/A</v>
      </c>
      <c r="N50" s="2" t="e">
        <f t="shared" ref="N50:Q51" si="10">L32/$M50</f>
        <v>#N/A</v>
      </c>
      <c r="O50" s="2" t="e">
        <f t="shared" si="10"/>
        <v>#N/A</v>
      </c>
      <c r="P50" s="2" t="e">
        <f t="shared" si="10"/>
        <v>#N/A</v>
      </c>
      <c r="Q50" s="2" t="e">
        <f t="shared" si="10"/>
        <v>#N/A</v>
      </c>
      <c r="R50" s="2" t="e">
        <f>S32/$M50</f>
        <v>#N/A</v>
      </c>
    </row>
    <row r="51" spans="11:18" ht="21" x14ac:dyDescent="0.45">
      <c r="K51" s="18" t="s">
        <v>30</v>
      </c>
      <c r="L51" s="67" t="s">
        <v>30</v>
      </c>
      <c r="M51" s="68">
        <f>VLOOKUP(L51,'2019 ACC Programming Overview'!A:U,12,FALSE)</f>
        <v>50</v>
      </c>
      <c r="N51" s="2">
        <f t="shared" si="10"/>
        <v>269.98400000000004</v>
      </c>
      <c r="O51" s="2">
        <f t="shared" si="10"/>
        <v>82.367999999999995</v>
      </c>
      <c r="P51" s="2">
        <f t="shared" si="10"/>
        <v>127.712</v>
      </c>
      <c r="Q51" s="2">
        <f t="shared" si="10"/>
        <v>701.37599999999986</v>
      </c>
      <c r="R51" s="2">
        <f>S33/$M51</f>
        <v>142.27199999999999</v>
      </c>
    </row>
    <row r="52" spans="11:18" ht="21" x14ac:dyDescent="0.45">
      <c r="K52" s="18" t="s">
        <v>31</v>
      </c>
      <c r="L52" s="67" t="s">
        <v>31</v>
      </c>
      <c r="M52" s="68">
        <f>VLOOKUP(L52,'2019 ACC Programming Overview'!A:U,12,FALSE)</f>
        <v>50</v>
      </c>
    </row>
    <row r="53" spans="11:18" ht="21" x14ac:dyDescent="0.45">
      <c r="K53" s="18" t="s">
        <v>32</v>
      </c>
      <c r="L53" s="67" t="s">
        <v>32</v>
      </c>
      <c r="M53" s="68">
        <f>VLOOKUP(L53,'2019 ACC Programming Overview'!A:U,12,FALSE)</f>
        <v>50</v>
      </c>
      <c r="N53" s="2">
        <f>L35/$M53</f>
        <v>304.096</v>
      </c>
      <c r="O53" s="2">
        <f>M35/$M53</f>
        <v>68.224000000000004</v>
      </c>
      <c r="P53" s="2">
        <f>N35/$M53</f>
        <v>88.192000000000007</v>
      </c>
      <c r="Q53" s="2">
        <f>O35/$M53</f>
        <v>285.79200000000003</v>
      </c>
      <c r="R53" s="2">
        <f>S35/$M53</f>
        <v>41.6</v>
      </c>
    </row>
    <row r="54" spans="11:18" ht="21" x14ac:dyDescent="0.45">
      <c r="K54" s="18" t="s">
        <v>33</v>
      </c>
      <c r="L54" s="67" t="s">
        <v>33</v>
      </c>
      <c r="M54" s="68" t="e">
        <f>VLOOKUP(L54,'2019 ACC Programming Overview'!A:U,12,FALSE)</f>
        <v>#N/A</v>
      </c>
      <c r="N54" s="2" t="e">
        <f>L34/$M54</f>
        <v>#N/A</v>
      </c>
      <c r="O54" s="2" t="e">
        <f>M34/$M54</f>
        <v>#N/A</v>
      </c>
      <c r="P54" s="2" t="e">
        <f>N34/$M54</f>
        <v>#N/A</v>
      </c>
      <c r="Q54" s="2" t="e">
        <f>O34/$M54</f>
        <v>#N/A</v>
      </c>
      <c r="R54" s="2" t="e">
        <f>S34/$M54</f>
        <v>#N/A</v>
      </c>
    </row>
  </sheetData>
  <pageMargins left="0.7" right="0.7" top="0.75" bottom="0.75" header="0.3" footer="0.3"/>
  <pageSetup orientation="portrait" horizontalDpi="0" verticalDpi="0"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7"/>
  </sheetPr>
  <dimension ref="A3:B72"/>
  <sheetViews>
    <sheetView workbookViewId="0">
      <selection activeCell="E35" sqref="E35"/>
    </sheetView>
  </sheetViews>
  <sheetFormatPr defaultRowHeight="15" x14ac:dyDescent="0.25"/>
  <cols>
    <col min="1" max="1" width="42.85546875" customWidth="1"/>
    <col min="2" max="2" width="12" style="2" customWidth="1"/>
  </cols>
  <sheetData>
    <row r="3" spans="1:2" x14ac:dyDescent="0.25">
      <c r="A3" s="60" t="s">
        <v>538</v>
      </c>
      <c r="B3" s="2" t="s">
        <v>535</v>
      </c>
    </row>
    <row r="4" spans="1:2" x14ac:dyDescent="0.25">
      <c r="A4" s="15" t="s">
        <v>539</v>
      </c>
      <c r="B4" s="2">
        <v>0.8</v>
      </c>
    </row>
    <row r="5" spans="1:2" x14ac:dyDescent="0.25">
      <c r="A5" s="186" t="s">
        <v>144</v>
      </c>
      <c r="B5" s="2">
        <v>0.8</v>
      </c>
    </row>
    <row r="6" spans="1:2" x14ac:dyDescent="0.25">
      <c r="A6" s="187" t="s">
        <v>322</v>
      </c>
      <c r="B6" s="2">
        <v>0.5</v>
      </c>
    </row>
    <row r="7" spans="1:2" x14ac:dyDescent="0.25">
      <c r="A7" s="187" t="s">
        <v>326</v>
      </c>
      <c r="B7" s="2">
        <v>0.3</v>
      </c>
    </row>
    <row r="8" spans="1:2" x14ac:dyDescent="0.25">
      <c r="A8" s="15" t="s">
        <v>17</v>
      </c>
      <c r="B8" s="2">
        <v>0.1</v>
      </c>
    </row>
    <row r="9" spans="1:2" x14ac:dyDescent="0.25">
      <c r="A9" s="186" t="s">
        <v>144</v>
      </c>
      <c r="B9" s="2">
        <v>0.1</v>
      </c>
    </row>
    <row r="10" spans="1:2" x14ac:dyDescent="0.25">
      <c r="A10" s="187" t="s">
        <v>322</v>
      </c>
      <c r="B10" s="2">
        <v>0.1</v>
      </c>
    </row>
    <row r="11" spans="1:2" x14ac:dyDescent="0.25">
      <c r="A11" s="15" t="s">
        <v>328</v>
      </c>
      <c r="B11" s="2">
        <v>10.24</v>
      </c>
    </row>
    <row r="12" spans="1:2" x14ac:dyDescent="0.25">
      <c r="A12" s="186" t="s">
        <v>144</v>
      </c>
      <c r="B12" s="2">
        <v>10.24</v>
      </c>
    </row>
    <row r="13" spans="1:2" x14ac:dyDescent="0.25">
      <c r="A13" s="187" t="s">
        <v>323</v>
      </c>
      <c r="B13" s="2">
        <v>0.04</v>
      </c>
    </row>
    <row r="14" spans="1:2" x14ac:dyDescent="0.25">
      <c r="A14" s="187" t="s">
        <v>324</v>
      </c>
      <c r="B14" s="2">
        <v>0.02</v>
      </c>
    </row>
    <row r="15" spans="1:2" x14ac:dyDescent="0.25">
      <c r="A15" s="187" t="s">
        <v>332</v>
      </c>
      <c r="B15" s="2">
        <v>5.2</v>
      </c>
    </row>
    <row r="16" spans="1:2" x14ac:dyDescent="0.25">
      <c r="A16" s="187" t="s">
        <v>333</v>
      </c>
      <c r="B16" s="2">
        <v>3</v>
      </c>
    </row>
    <row r="17" spans="1:2" x14ac:dyDescent="0.25">
      <c r="A17" s="187" t="s">
        <v>335</v>
      </c>
      <c r="B17" s="2">
        <v>0.91</v>
      </c>
    </row>
    <row r="18" spans="1:2" x14ac:dyDescent="0.25">
      <c r="A18" s="187" t="s">
        <v>330</v>
      </c>
      <c r="B18" s="2">
        <v>7.0000000000000007E-2</v>
      </c>
    </row>
    <row r="19" spans="1:2" x14ac:dyDescent="0.25">
      <c r="A19" s="187" t="s">
        <v>336</v>
      </c>
      <c r="B19" s="2">
        <v>1</v>
      </c>
    </row>
    <row r="20" spans="1:2" x14ac:dyDescent="0.25">
      <c r="A20" s="15" t="s">
        <v>541</v>
      </c>
      <c r="B20" s="2">
        <v>0.18</v>
      </c>
    </row>
    <row r="21" spans="1:2" x14ac:dyDescent="0.25">
      <c r="A21" s="186" t="s">
        <v>144</v>
      </c>
      <c r="B21" s="2">
        <v>0.18</v>
      </c>
    </row>
    <row r="22" spans="1:2" x14ac:dyDescent="0.25">
      <c r="A22" s="187" t="s">
        <v>323</v>
      </c>
      <c r="B22" s="2">
        <v>0.22</v>
      </c>
    </row>
    <row r="23" spans="1:2" x14ac:dyDescent="0.25">
      <c r="A23" s="187" t="s">
        <v>322</v>
      </c>
      <c r="B23" s="2">
        <v>-0.09</v>
      </c>
    </row>
    <row r="24" spans="1:2" x14ac:dyDescent="0.25">
      <c r="A24" s="187" t="s">
        <v>330</v>
      </c>
      <c r="B24" s="2">
        <v>0.05</v>
      </c>
    </row>
    <row r="25" spans="1:2" x14ac:dyDescent="0.25">
      <c r="A25" s="15" t="s">
        <v>24</v>
      </c>
      <c r="B25" s="2">
        <v>6.9</v>
      </c>
    </row>
    <row r="26" spans="1:2" x14ac:dyDescent="0.25">
      <c r="A26" s="186" t="s">
        <v>144</v>
      </c>
      <c r="B26" s="2">
        <v>6.9</v>
      </c>
    </row>
    <row r="27" spans="1:2" x14ac:dyDescent="0.25">
      <c r="A27" s="187" t="s">
        <v>323</v>
      </c>
      <c r="B27" s="2">
        <v>0.06</v>
      </c>
    </row>
    <row r="28" spans="1:2" x14ac:dyDescent="0.25">
      <c r="A28" s="187" t="s">
        <v>324</v>
      </c>
      <c r="B28" s="2">
        <v>2</v>
      </c>
    </row>
    <row r="29" spans="1:2" x14ac:dyDescent="0.25">
      <c r="A29" s="187" t="s">
        <v>322</v>
      </c>
      <c r="B29" s="2">
        <v>0.39</v>
      </c>
    </row>
    <row r="30" spans="1:2" x14ac:dyDescent="0.25">
      <c r="A30" s="187" t="s">
        <v>325</v>
      </c>
      <c r="B30" s="2">
        <v>2.0300000000000002</v>
      </c>
    </row>
    <row r="31" spans="1:2" x14ac:dyDescent="0.25">
      <c r="A31" s="187" t="s">
        <v>329</v>
      </c>
      <c r="B31" s="2">
        <v>0.46</v>
      </c>
    </row>
    <row r="32" spans="1:2" x14ac:dyDescent="0.25">
      <c r="A32" s="187" t="s">
        <v>331</v>
      </c>
      <c r="B32" s="2">
        <v>0.96</v>
      </c>
    </row>
    <row r="33" spans="1:2" x14ac:dyDescent="0.25">
      <c r="A33" s="187" t="s">
        <v>327</v>
      </c>
      <c r="B33" s="2">
        <v>1</v>
      </c>
    </row>
    <row r="34" spans="1:2" x14ac:dyDescent="0.25">
      <c r="A34" s="15" t="s">
        <v>392</v>
      </c>
      <c r="B34" s="2">
        <v>1.08</v>
      </c>
    </row>
    <row r="35" spans="1:2" x14ac:dyDescent="0.25">
      <c r="A35" s="186" t="s">
        <v>144</v>
      </c>
      <c r="B35" s="2">
        <v>1.08</v>
      </c>
    </row>
    <row r="36" spans="1:2" x14ac:dyDescent="0.25">
      <c r="A36" s="187" t="s">
        <v>323</v>
      </c>
      <c r="B36" s="2">
        <v>0.01</v>
      </c>
    </row>
    <row r="37" spans="1:2" x14ac:dyDescent="0.25">
      <c r="A37" s="187" t="s">
        <v>322</v>
      </c>
      <c r="B37" s="2">
        <v>0.2</v>
      </c>
    </row>
    <row r="38" spans="1:2" x14ac:dyDescent="0.25">
      <c r="A38" s="187" t="s">
        <v>327</v>
      </c>
      <c r="B38" s="2">
        <v>0.87</v>
      </c>
    </row>
    <row r="39" spans="1:2" x14ac:dyDescent="0.25">
      <c r="A39" s="15" t="s">
        <v>74</v>
      </c>
      <c r="B39" s="2">
        <v>1.1200000000000001</v>
      </c>
    </row>
    <row r="40" spans="1:2" x14ac:dyDescent="0.25">
      <c r="A40" s="186" t="s">
        <v>144</v>
      </c>
      <c r="B40" s="2">
        <v>1.1200000000000001</v>
      </c>
    </row>
    <row r="41" spans="1:2" x14ac:dyDescent="0.25">
      <c r="A41" s="187" t="s">
        <v>325</v>
      </c>
      <c r="B41" s="2">
        <v>1.1200000000000001</v>
      </c>
    </row>
    <row r="42" spans="1:2" x14ac:dyDescent="0.25">
      <c r="A42" s="15" t="s">
        <v>338</v>
      </c>
      <c r="B42" s="2">
        <v>1.05</v>
      </c>
    </row>
    <row r="43" spans="1:2" x14ac:dyDescent="0.25">
      <c r="A43" s="186" t="s">
        <v>144</v>
      </c>
      <c r="B43" s="2">
        <v>1.05</v>
      </c>
    </row>
    <row r="44" spans="1:2" x14ac:dyDescent="0.25">
      <c r="A44" s="187" t="s">
        <v>330</v>
      </c>
      <c r="B44" s="2">
        <v>0.05</v>
      </c>
    </row>
    <row r="45" spans="1:2" x14ac:dyDescent="0.25">
      <c r="A45" s="187" t="s">
        <v>327</v>
      </c>
      <c r="B45" s="2">
        <v>1</v>
      </c>
    </row>
    <row r="46" spans="1:2" x14ac:dyDescent="0.25">
      <c r="A46" s="15" t="s">
        <v>28</v>
      </c>
      <c r="B46" s="2">
        <v>3.9799999999999995</v>
      </c>
    </row>
    <row r="47" spans="1:2" x14ac:dyDescent="0.25">
      <c r="A47" s="186" t="s">
        <v>144</v>
      </c>
      <c r="B47" s="2">
        <v>3.9799999999999995</v>
      </c>
    </row>
    <row r="48" spans="1:2" x14ac:dyDescent="0.25">
      <c r="A48" s="187" t="s">
        <v>324</v>
      </c>
      <c r="B48" s="2">
        <v>0.26</v>
      </c>
    </row>
    <row r="49" spans="1:2" x14ac:dyDescent="0.25">
      <c r="A49" s="187" t="s">
        <v>322</v>
      </c>
      <c r="B49" s="2">
        <v>2.92</v>
      </c>
    </row>
    <row r="50" spans="1:2" x14ac:dyDescent="0.25">
      <c r="A50" s="187" t="s">
        <v>327</v>
      </c>
      <c r="B50" s="2">
        <v>0.8</v>
      </c>
    </row>
    <row r="51" spans="1:2" x14ac:dyDescent="0.25">
      <c r="A51" s="15" t="s">
        <v>136</v>
      </c>
      <c r="B51" s="2">
        <v>0.1</v>
      </c>
    </row>
    <row r="52" spans="1:2" x14ac:dyDescent="0.25">
      <c r="A52" s="186" t="s">
        <v>144</v>
      </c>
      <c r="B52" s="2">
        <v>0.1</v>
      </c>
    </row>
    <row r="53" spans="1:2" x14ac:dyDescent="0.25">
      <c r="A53" s="187" t="s">
        <v>325</v>
      </c>
      <c r="B53" s="2">
        <v>0.1</v>
      </c>
    </row>
    <row r="54" spans="1:2" x14ac:dyDescent="0.25">
      <c r="A54" s="15" t="s">
        <v>542</v>
      </c>
      <c r="B54" s="2">
        <v>1.75</v>
      </c>
    </row>
    <row r="55" spans="1:2" x14ac:dyDescent="0.25">
      <c r="A55" s="186" t="s">
        <v>144</v>
      </c>
      <c r="B55" s="2">
        <v>1.75</v>
      </c>
    </row>
    <row r="56" spans="1:2" x14ac:dyDescent="0.25">
      <c r="A56" s="187" t="s">
        <v>322</v>
      </c>
      <c r="B56" s="2">
        <v>0.14000000000000001</v>
      </c>
    </row>
    <row r="57" spans="1:2" x14ac:dyDescent="0.25">
      <c r="A57" s="187" t="s">
        <v>334</v>
      </c>
      <c r="B57" s="2">
        <v>0.01</v>
      </c>
    </row>
    <row r="58" spans="1:2" x14ac:dyDescent="0.25">
      <c r="A58" s="187" t="s">
        <v>325</v>
      </c>
      <c r="B58" s="2">
        <v>0.8</v>
      </c>
    </row>
    <row r="59" spans="1:2" x14ac:dyDescent="0.25">
      <c r="A59" s="187" t="s">
        <v>327</v>
      </c>
      <c r="B59" s="2">
        <v>0.8</v>
      </c>
    </row>
    <row r="60" spans="1:2" x14ac:dyDescent="0.25">
      <c r="A60" s="15" t="s">
        <v>30</v>
      </c>
      <c r="B60" s="2">
        <v>3.42</v>
      </c>
    </row>
    <row r="61" spans="1:2" x14ac:dyDescent="0.25">
      <c r="A61" s="186" t="s">
        <v>144</v>
      </c>
      <c r="B61" s="2">
        <v>3.42</v>
      </c>
    </row>
    <row r="62" spans="1:2" x14ac:dyDescent="0.25">
      <c r="A62" s="187" t="s">
        <v>324</v>
      </c>
      <c r="B62" s="2">
        <v>1</v>
      </c>
    </row>
    <row r="63" spans="1:2" x14ac:dyDescent="0.25">
      <c r="A63" s="187" t="s">
        <v>322</v>
      </c>
      <c r="B63" s="2">
        <v>1</v>
      </c>
    </row>
    <row r="64" spans="1:2" x14ac:dyDescent="0.25">
      <c r="A64" s="187" t="s">
        <v>325</v>
      </c>
      <c r="B64" s="2">
        <v>1.02</v>
      </c>
    </row>
    <row r="65" spans="1:2" x14ac:dyDescent="0.25">
      <c r="A65" s="187" t="s">
        <v>326</v>
      </c>
      <c r="B65" s="2">
        <v>0.4</v>
      </c>
    </row>
    <row r="66" spans="1:2" x14ac:dyDescent="0.25">
      <c r="A66" s="15" t="s">
        <v>32</v>
      </c>
      <c r="B66" s="2">
        <v>1</v>
      </c>
    </row>
    <row r="67" spans="1:2" x14ac:dyDescent="0.25">
      <c r="A67" s="186" t="s">
        <v>144</v>
      </c>
      <c r="B67" s="2">
        <v>1</v>
      </c>
    </row>
    <row r="68" spans="1:2" x14ac:dyDescent="0.25">
      <c r="A68" s="187" t="s">
        <v>325</v>
      </c>
      <c r="B68" s="2">
        <v>1</v>
      </c>
    </row>
    <row r="69" spans="1:2" x14ac:dyDescent="0.25">
      <c r="A69" s="15" t="s">
        <v>33</v>
      </c>
      <c r="B69" s="2">
        <v>0.05</v>
      </c>
    </row>
    <row r="70" spans="1:2" x14ac:dyDescent="0.25">
      <c r="A70" s="186" t="s">
        <v>144</v>
      </c>
      <c r="B70" s="2">
        <v>0.05</v>
      </c>
    </row>
    <row r="71" spans="1:2" x14ac:dyDescent="0.25">
      <c r="A71" s="187" t="s">
        <v>330</v>
      </c>
      <c r="B71" s="2">
        <v>0.05</v>
      </c>
    </row>
    <row r="72" spans="1:2" x14ac:dyDescent="0.25">
      <c r="A72" s="15" t="s">
        <v>516</v>
      </c>
      <c r="B72" s="2">
        <v>31.770000000000017</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7"/>
  </sheetPr>
  <dimension ref="A3:N55"/>
  <sheetViews>
    <sheetView workbookViewId="0">
      <selection activeCell="E35" sqref="E35"/>
    </sheetView>
  </sheetViews>
  <sheetFormatPr defaultRowHeight="15" x14ac:dyDescent="0.25"/>
  <cols>
    <col min="1" max="1" width="39.140625" customWidth="1"/>
    <col min="2" max="2" width="12" customWidth="1"/>
    <col min="6" max="6" width="39.140625" bestFit="1" customWidth="1"/>
    <col min="7" max="7" width="6" bestFit="1" customWidth="1"/>
    <col min="8" max="8" width="20.7109375" customWidth="1"/>
    <col min="12" max="12" width="26.140625" bestFit="1" customWidth="1"/>
    <col min="13" max="13" width="28.85546875" bestFit="1" customWidth="1"/>
  </cols>
  <sheetData>
    <row r="3" spans="1:14" x14ac:dyDescent="0.25">
      <c r="A3" s="60" t="s">
        <v>538</v>
      </c>
      <c r="B3" t="s">
        <v>535</v>
      </c>
      <c r="G3" t="s">
        <v>914</v>
      </c>
      <c r="H3" t="s">
        <v>339</v>
      </c>
      <c r="I3" t="s">
        <v>915</v>
      </c>
      <c r="L3" t="s">
        <v>916</v>
      </c>
    </row>
    <row r="4" spans="1:14" x14ac:dyDescent="0.25">
      <c r="A4" s="15" t="s">
        <v>566</v>
      </c>
      <c r="B4" s="61">
        <v>1.24</v>
      </c>
      <c r="F4" s="15" t="s">
        <v>566</v>
      </c>
      <c r="G4" s="61">
        <v>1.24</v>
      </c>
      <c r="H4" t="s">
        <v>142</v>
      </c>
      <c r="I4">
        <f>VLOOKUP(F4,'Staffing Data'!J:N,5,FALSE)</f>
        <v>72.729528535980151</v>
      </c>
      <c r="L4" t="s">
        <v>917</v>
      </c>
    </row>
    <row r="5" spans="1:14" x14ac:dyDescent="0.25">
      <c r="A5" s="15" t="s">
        <v>555</v>
      </c>
      <c r="B5" s="61">
        <v>12.87</v>
      </c>
      <c r="F5" s="15" t="s">
        <v>555</v>
      </c>
      <c r="G5" s="61">
        <v>12.87</v>
      </c>
      <c r="H5" t="s">
        <v>146</v>
      </c>
      <c r="I5">
        <f>VLOOKUP(F5,'Staffing Data'!J:N,5,FALSE)</f>
        <v>33.756394245779198</v>
      </c>
      <c r="L5" t="s">
        <v>918</v>
      </c>
    </row>
    <row r="6" spans="1:14" x14ac:dyDescent="0.25">
      <c r="A6" s="15" t="s">
        <v>573</v>
      </c>
      <c r="B6" s="61">
        <v>2</v>
      </c>
      <c r="F6" s="15" t="s">
        <v>573</v>
      </c>
      <c r="G6" s="61">
        <v>2</v>
      </c>
      <c r="H6" t="s">
        <v>146</v>
      </c>
      <c r="I6">
        <f>VLOOKUP(F6,'Staffing Data'!J:N,5,FALSE)</f>
        <v>29.461283749363218</v>
      </c>
    </row>
    <row r="7" spans="1:14" x14ac:dyDescent="0.25">
      <c r="A7" s="15" t="s">
        <v>577</v>
      </c>
      <c r="B7" s="61">
        <v>2</v>
      </c>
      <c r="F7" s="15" t="s">
        <v>577</v>
      </c>
      <c r="G7" s="61">
        <v>2</v>
      </c>
      <c r="H7" t="s">
        <v>146</v>
      </c>
      <c r="I7">
        <f>VLOOKUP(F7,'Staffing Data'!J:N,5,FALSE)</f>
        <v>28.799116856521181</v>
      </c>
    </row>
    <row r="8" spans="1:14" x14ac:dyDescent="0.25">
      <c r="A8" s="15" t="s">
        <v>582</v>
      </c>
      <c r="B8" s="61">
        <v>1</v>
      </c>
      <c r="F8" s="15" t="s">
        <v>582</v>
      </c>
      <c r="G8" s="61">
        <v>1</v>
      </c>
      <c r="H8" t="s">
        <v>146</v>
      </c>
      <c r="I8">
        <f>VLOOKUP(F8,'Staffing Data'!J:N,5,FALSE)</f>
        <v>43.38461538461538</v>
      </c>
      <c r="L8" t="s">
        <v>919</v>
      </c>
      <c r="M8" t="s">
        <v>920</v>
      </c>
    </row>
    <row r="9" spans="1:14" x14ac:dyDescent="0.25">
      <c r="A9" s="15" t="s">
        <v>587</v>
      </c>
      <c r="B9" s="61">
        <v>3.17</v>
      </c>
      <c r="F9" s="15" t="s">
        <v>587</v>
      </c>
      <c r="G9" s="61">
        <v>3.17</v>
      </c>
      <c r="H9" t="s">
        <v>146</v>
      </c>
      <c r="I9">
        <f>VLOOKUP(F9,'Staffing Data'!J:N,5,FALSE)</f>
        <v>39.533087000335897</v>
      </c>
      <c r="L9" t="s">
        <v>921</v>
      </c>
      <c r="M9" t="s">
        <v>922</v>
      </c>
      <c r="N9" t="s">
        <v>923</v>
      </c>
    </row>
    <row r="10" spans="1:14" x14ac:dyDescent="0.25">
      <c r="A10" s="15" t="s">
        <v>605</v>
      </c>
      <c r="B10" s="61">
        <v>1</v>
      </c>
      <c r="F10" s="15" t="s">
        <v>605</v>
      </c>
      <c r="G10" s="61">
        <v>1</v>
      </c>
      <c r="H10" t="s">
        <v>142</v>
      </c>
      <c r="I10">
        <f>VLOOKUP(F10,'Staffing Data'!J:N,5,FALSE)</f>
        <v>29.465342349957737</v>
      </c>
      <c r="L10" t="s">
        <v>924</v>
      </c>
      <c r="M10" t="s">
        <v>925</v>
      </c>
    </row>
    <row r="11" spans="1:14" x14ac:dyDescent="0.25">
      <c r="A11" s="15" t="s">
        <v>608</v>
      </c>
      <c r="B11" s="61">
        <v>1</v>
      </c>
      <c r="F11" s="15" t="s">
        <v>608</v>
      </c>
      <c r="G11" s="61">
        <v>1</v>
      </c>
      <c r="H11" t="s">
        <v>142</v>
      </c>
      <c r="I11">
        <f>VLOOKUP(F11,'Staffing Data'!J:N,5,FALSE)</f>
        <v>22.938461538461535</v>
      </c>
    </row>
    <row r="12" spans="1:14" x14ac:dyDescent="0.25">
      <c r="A12" s="15" t="s">
        <v>323</v>
      </c>
      <c r="B12" s="61">
        <v>0.33</v>
      </c>
      <c r="F12" s="15" t="s">
        <v>323</v>
      </c>
      <c r="G12" s="61">
        <v>0.33</v>
      </c>
      <c r="H12" t="s">
        <v>144</v>
      </c>
      <c r="I12">
        <f>VLOOKUP(F12,'Staffing Data'!J:N,5,FALSE)</f>
        <v>46.508875739644964</v>
      </c>
      <c r="L12" t="s">
        <v>926</v>
      </c>
    </row>
    <row r="13" spans="1:14" x14ac:dyDescent="0.25">
      <c r="A13" s="15" t="s">
        <v>324</v>
      </c>
      <c r="B13" s="61">
        <v>3.2800000000000002</v>
      </c>
      <c r="F13" s="15" t="s">
        <v>324</v>
      </c>
      <c r="G13" s="61">
        <v>3.2800000000000002</v>
      </c>
      <c r="H13" t="s">
        <v>144</v>
      </c>
      <c r="I13">
        <f>VLOOKUP(F13,'Staffing Data'!J:N,5,FALSE)</f>
        <v>51.540050858232675</v>
      </c>
      <c r="L13" t="s">
        <v>927</v>
      </c>
      <c r="M13" t="s">
        <v>77</v>
      </c>
    </row>
    <row r="14" spans="1:14" x14ac:dyDescent="0.25">
      <c r="A14" s="15" t="s">
        <v>322</v>
      </c>
      <c r="B14" s="61">
        <v>5.1599999999999993</v>
      </c>
      <c r="F14" s="15" t="s">
        <v>322</v>
      </c>
      <c r="G14" s="61">
        <v>5.1599999999999993</v>
      </c>
      <c r="H14" t="s">
        <v>144</v>
      </c>
      <c r="I14">
        <f>VLOOKUP(F14,'Staffing Data'!J:N,5,FALSE)</f>
        <v>45.098782512451592</v>
      </c>
      <c r="L14" t="s">
        <v>928</v>
      </c>
      <c r="M14">
        <v>36.430000000000014</v>
      </c>
      <c r="N14" t="s">
        <v>929</v>
      </c>
    </row>
    <row r="15" spans="1:14" x14ac:dyDescent="0.25">
      <c r="A15" s="15" t="s">
        <v>618</v>
      </c>
      <c r="B15" s="61">
        <v>2</v>
      </c>
      <c r="F15" s="15" t="s">
        <v>618</v>
      </c>
      <c r="G15" s="61">
        <v>2</v>
      </c>
      <c r="H15" t="s">
        <v>142</v>
      </c>
      <c r="I15">
        <f>VLOOKUP(F15,'Staffing Data'!J:N,5,FALSE)</f>
        <v>20.388461538461538</v>
      </c>
      <c r="L15" t="s">
        <v>930</v>
      </c>
      <c r="M15">
        <v>57.010000000000005</v>
      </c>
      <c r="N15" t="s">
        <v>24</v>
      </c>
    </row>
    <row r="16" spans="1:14" x14ac:dyDescent="0.25">
      <c r="A16" s="15" t="s">
        <v>557</v>
      </c>
      <c r="B16" s="61">
        <v>0.56999999999999995</v>
      </c>
      <c r="F16" s="15" t="s">
        <v>557</v>
      </c>
      <c r="G16" s="61">
        <v>0.56999999999999995</v>
      </c>
      <c r="H16" t="s">
        <v>146</v>
      </c>
      <c r="I16">
        <f>VLOOKUP(F16,'Staffing Data'!J:N,5,FALSE)</f>
        <v>63.385989010988986</v>
      </c>
      <c r="L16" t="s">
        <v>931</v>
      </c>
      <c r="M16">
        <v>19.940000000000005</v>
      </c>
      <c r="N16" t="s">
        <v>32</v>
      </c>
    </row>
    <row r="17" spans="1:14" x14ac:dyDescent="0.25">
      <c r="A17" s="15" t="s">
        <v>633</v>
      </c>
      <c r="B17" s="61">
        <v>7.2600000000000007</v>
      </c>
      <c r="F17" s="15" t="s">
        <v>633</v>
      </c>
      <c r="G17" s="61">
        <v>7.2600000000000007</v>
      </c>
      <c r="H17" t="s">
        <v>146</v>
      </c>
      <c r="I17">
        <f>VLOOKUP(F17,'Staffing Data'!J:N,5,FALSE)</f>
        <v>54.630945644576101</v>
      </c>
      <c r="L17" t="s">
        <v>932</v>
      </c>
      <c r="M17">
        <v>60.659999999999989</v>
      </c>
      <c r="N17" t="s">
        <v>328</v>
      </c>
    </row>
    <row r="18" spans="1:14" x14ac:dyDescent="0.25">
      <c r="A18" s="15" t="s">
        <v>559</v>
      </c>
      <c r="B18" s="61">
        <v>6.6500000000000012</v>
      </c>
      <c r="F18" s="15" t="s">
        <v>559</v>
      </c>
      <c r="G18" s="61">
        <v>6.6500000000000012</v>
      </c>
      <c r="H18" t="s">
        <v>146</v>
      </c>
      <c r="I18">
        <f>VLOOKUP(F18,'Staffing Data'!J:N,5,FALSE)</f>
        <v>80.228254437869822</v>
      </c>
      <c r="L18" t="s">
        <v>933</v>
      </c>
      <c r="M18">
        <v>14.530000000000001</v>
      </c>
      <c r="N18" t="s">
        <v>164</v>
      </c>
    </row>
    <row r="19" spans="1:14" x14ac:dyDescent="0.25">
      <c r="A19" s="15" t="s">
        <v>607</v>
      </c>
      <c r="B19" s="61">
        <v>3.12</v>
      </c>
      <c r="F19" s="15" t="s">
        <v>607</v>
      </c>
      <c r="G19" s="61">
        <v>3.12</v>
      </c>
      <c r="H19" t="s">
        <v>146</v>
      </c>
      <c r="I19">
        <f>VLOOKUP(F19,'Staffing Data'!J:N,5,FALSE)</f>
        <v>79.88942307692308</v>
      </c>
      <c r="L19" t="s">
        <v>934</v>
      </c>
      <c r="M19">
        <v>32.769999999999996</v>
      </c>
      <c r="N19" t="s">
        <v>23</v>
      </c>
    </row>
    <row r="20" spans="1:14" x14ac:dyDescent="0.25">
      <c r="A20" s="15" t="s">
        <v>643</v>
      </c>
      <c r="B20" s="61">
        <v>1.02</v>
      </c>
      <c r="F20" s="15" t="s">
        <v>643</v>
      </c>
      <c r="G20" s="61">
        <v>1.02</v>
      </c>
      <c r="H20" t="s">
        <v>146</v>
      </c>
      <c r="I20">
        <f>VLOOKUP(F20,'Staffing Data'!J:N,5,FALSE)</f>
        <v>53.585972850678729</v>
      </c>
      <c r="L20" t="s">
        <v>935</v>
      </c>
      <c r="M20">
        <v>42.83</v>
      </c>
      <c r="N20" t="s">
        <v>321</v>
      </c>
    </row>
    <row r="21" spans="1:14" x14ac:dyDescent="0.25">
      <c r="A21" s="15" t="s">
        <v>647</v>
      </c>
      <c r="B21" s="61">
        <v>2.08</v>
      </c>
      <c r="F21" s="15" t="s">
        <v>647</v>
      </c>
      <c r="G21" s="61">
        <v>2.08</v>
      </c>
      <c r="H21" t="s">
        <v>146</v>
      </c>
      <c r="I21">
        <f>VLOOKUP(F21,'Staffing Data'!J:N,5,FALSE)</f>
        <v>55.872781065088752</v>
      </c>
      <c r="L21" t="s">
        <v>936</v>
      </c>
      <c r="M21">
        <v>45.769999999999996</v>
      </c>
      <c r="N21" t="s">
        <v>392</v>
      </c>
    </row>
    <row r="22" spans="1:14" x14ac:dyDescent="0.25">
      <c r="A22" s="15" t="s">
        <v>332</v>
      </c>
      <c r="B22" s="61">
        <v>5.2</v>
      </c>
      <c r="F22" s="15" t="s">
        <v>332</v>
      </c>
      <c r="G22" s="61">
        <v>5.2</v>
      </c>
      <c r="H22" t="s">
        <v>144</v>
      </c>
      <c r="I22">
        <f>VLOOKUP(F22,'Staffing Data'!J:N,5,FALSE)</f>
        <v>47.376717032967022</v>
      </c>
      <c r="L22" t="s">
        <v>937</v>
      </c>
      <c r="M22">
        <v>23.93</v>
      </c>
      <c r="N22" t="s">
        <v>27</v>
      </c>
    </row>
    <row r="23" spans="1:14" x14ac:dyDescent="0.25">
      <c r="A23" s="15" t="s">
        <v>334</v>
      </c>
      <c r="B23" s="61">
        <v>0.01</v>
      </c>
      <c r="F23" s="15" t="s">
        <v>334</v>
      </c>
      <c r="G23" s="61">
        <v>0.01</v>
      </c>
      <c r="H23" t="s">
        <v>144</v>
      </c>
      <c r="I23">
        <f>VLOOKUP(F23,'Staffing Data'!J:N,5,FALSE)</f>
        <v>46.153846153846153</v>
      </c>
      <c r="L23" t="s">
        <v>938</v>
      </c>
      <c r="M23">
        <v>26.400000000000002</v>
      </c>
      <c r="N23" t="s">
        <v>30</v>
      </c>
    </row>
    <row r="24" spans="1:14" x14ac:dyDescent="0.25">
      <c r="A24" s="15" t="s">
        <v>333</v>
      </c>
      <c r="B24" s="61">
        <v>3</v>
      </c>
      <c r="F24" s="15" t="s">
        <v>333</v>
      </c>
      <c r="G24" s="61">
        <v>3</v>
      </c>
      <c r="H24" t="s">
        <v>144</v>
      </c>
      <c r="I24">
        <f>VLOOKUP(F24,'Staffing Data'!J:N,5,FALSE)</f>
        <v>40.705769230769228</v>
      </c>
      <c r="L24" t="s">
        <v>939</v>
      </c>
      <c r="M24">
        <v>44.7</v>
      </c>
      <c r="N24" t="s">
        <v>940</v>
      </c>
    </row>
    <row r="25" spans="1:14" x14ac:dyDescent="0.25">
      <c r="A25" s="15" t="s">
        <v>325</v>
      </c>
      <c r="B25" s="61">
        <v>6.0700000000000012</v>
      </c>
      <c r="F25" s="15" t="s">
        <v>325</v>
      </c>
      <c r="G25" s="61">
        <v>6.0700000000000012</v>
      </c>
      <c r="H25" t="s">
        <v>144</v>
      </c>
      <c r="I25">
        <f>VLOOKUP(F25,'Staffing Data'!J:N,5,FALSE)</f>
        <v>28.684459063375236</v>
      </c>
      <c r="L25" t="s">
        <v>516</v>
      </c>
      <c r="M25">
        <v>404.96999999999997</v>
      </c>
    </row>
    <row r="26" spans="1:14" x14ac:dyDescent="0.25">
      <c r="A26" s="15" t="s">
        <v>561</v>
      </c>
      <c r="B26" s="61">
        <v>36.749999999999993</v>
      </c>
      <c r="F26" s="15" t="s">
        <v>561</v>
      </c>
      <c r="G26" s="61">
        <v>36.749999999999993</v>
      </c>
      <c r="H26" t="s">
        <v>145</v>
      </c>
      <c r="I26">
        <f>VLOOKUP(F26,'Staffing Data'!J:N,5,FALSE)</f>
        <v>35.785654562828483</v>
      </c>
    </row>
    <row r="27" spans="1:14" x14ac:dyDescent="0.25">
      <c r="A27" s="15" t="s">
        <v>713</v>
      </c>
      <c r="B27" s="61">
        <v>1.5500000000000003</v>
      </c>
      <c r="F27" s="15" t="s">
        <v>713</v>
      </c>
      <c r="G27" s="61">
        <v>1.5500000000000003</v>
      </c>
      <c r="H27" t="s">
        <v>145</v>
      </c>
      <c r="I27">
        <f>VLOOKUP(F27,'Staffing Data'!J:N,5,FALSE)</f>
        <v>41.346153846153847</v>
      </c>
      <c r="L27" t="s">
        <v>941</v>
      </c>
    </row>
    <row r="28" spans="1:14" x14ac:dyDescent="0.25">
      <c r="A28" s="15" t="s">
        <v>715</v>
      </c>
      <c r="B28" s="61">
        <v>2.17</v>
      </c>
      <c r="F28" s="15" t="s">
        <v>715</v>
      </c>
      <c r="G28" s="61">
        <v>2.17</v>
      </c>
      <c r="H28" t="s">
        <v>142</v>
      </c>
      <c r="I28">
        <f>VLOOKUP(F28,'Staffing Data'!J:N,5,FALSE)</f>
        <v>34.949543031226192</v>
      </c>
      <c r="L28" t="s">
        <v>31</v>
      </c>
    </row>
    <row r="29" spans="1:14" x14ac:dyDescent="0.25">
      <c r="A29" s="15" t="s">
        <v>610</v>
      </c>
      <c r="B29" s="61">
        <v>0.85</v>
      </c>
      <c r="F29" s="15" t="s">
        <v>610</v>
      </c>
      <c r="G29" s="61">
        <v>0.85</v>
      </c>
      <c r="H29" t="s">
        <v>142</v>
      </c>
      <c r="I29">
        <f>VLOOKUP(F29,'Staffing Data'!J:N,5,FALSE)</f>
        <v>41.463800904977376</v>
      </c>
      <c r="L29" t="s">
        <v>22</v>
      </c>
    </row>
    <row r="30" spans="1:14" x14ac:dyDescent="0.25">
      <c r="A30" s="15" t="s">
        <v>563</v>
      </c>
      <c r="B30" s="61">
        <v>0.5</v>
      </c>
      <c r="F30" s="15" t="s">
        <v>563</v>
      </c>
      <c r="G30" s="61">
        <v>0.5</v>
      </c>
      <c r="H30" t="s">
        <v>140</v>
      </c>
      <c r="I30">
        <f>VLOOKUP(F30,'Staffing Data'!J:N,5,FALSE)</f>
        <v>66.901947574718278</v>
      </c>
    </row>
    <row r="31" spans="1:14" x14ac:dyDescent="0.25">
      <c r="A31" s="15" t="s">
        <v>586</v>
      </c>
      <c r="B31" s="61">
        <v>0.87</v>
      </c>
      <c r="F31" s="15" t="s">
        <v>586</v>
      </c>
      <c r="G31" s="61">
        <v>0.87</v>
      </c>
      <c r="H31" t="s">
        <v>141</v>
      </c>
      <c r="I31">
        <f>VLOOKUP(F31,'Staffing Data'!J:N,5,FALSE)</f>
        <v>41.590161366128783</v>
      </c>
    </row>
    <row r="32" spans="1:14" x14ac:dyDescent="0.25">
      <c r="A32" s="15" t="s">
        <v>722</v>
      </c>
      <c r="B32" s="61">
        <v>4.58</v>
      </c>
      <c r="F32" s="15" t="s">
        <v>722</v>
      </c>
      <c r="G32" s="61">
        <v>4.58</v>
      </c>
      <c r="H32" t="s">
        <v>141</v>
      </c>
      <c r="I32">
        <f>VLOOKUP(F32,'Staffing Data'!J:N,5,FALSE)</f>
        <v>43.657051282051277</v>
      </c>
    </row>
    <row r="33" spans="1:9" x14ac:dyDescent="0.25">
      <c r="A33" s="15" t="s">
        <v>565</v>
      </c>
      <c r="B33" s="61">
        <v>1.1099999999999999</v>
      </c>
      <c r="F33" s="15" t="s">
        <v>565</v>
      </c>
      <c r="G33" s="61">
        <v>1.1099999999999999</v>
      </c>
      <c r="H33" t="s">
        <v>142</v>
      </c>
      <c r="I33">
        <f>VLOOKUP(F33,'Staffing Data'!J:N,5,FALSE)</f>
        <v>28.010355029585803</v>
      </c>
    </row>
    <row r="34" spans="1:9" x14ac:dyDescent="0.25">
      <c r="A34" s="15" t="s">
        <v>589</v>
      </c>
      <c r="B34" s="61">
        <v>6.42</v>
      </c>
      <c r="F34" s="15" t="s">
        <v>589</v>
      </c>
      <c r="G34" s="61">
        <v>6.42</v>
      </c>
      <c r="H34" t="s">
        <v>142</v>
      </c>
      <c r="I34">
        <f>VLOOKUP(F34,'Staffing Data'!J:N,5,FALSE)</f>
        <v>26.481279901091227</v>
      </c>
    </row>
    <row r="35" spans="1:9" x14ac:dyDescent="0.25">
      <c r="A35" s="15" t="s">
        <v>567</v>
      </c>
      <c r="B35" s="61">
        <v>50.01</v>
      </c>
      <c r="F35" s="15" t="s">
        <v>567</v>
      </c>
      <c r="G35" s="61">
        <v>50.01</v>
      </c>
      <c r="H35" t="s">
        <v>142</v>
      </c>
      <c r="I35">
        <f>VLOOKUP(F35,'Staffing Data'!J:N,5,FALSE)</f>
        <v>28.310992262175677</v>
      </c>
    </row>
    <row r="36" spans="1:9" x14ac:dyDescent="0.25">
      <c r="A36" s="15" t="s">
        <v>742</v>
      </c>
      <c r="B36" s="61">
        <v>0.94</v>
      </c>
      <c r="F36" s="15" t="s">
        <v>742</v>
      </c>
      <c r="G36" s="61">
        <v>0.94</v>
      </c>
      <c r="H36" t="s">
        <v>140</v>
      </c>
      <c r="I36">
        <f>VLOOKUP(F36,'Staffing Data'!J:N,5,FALSE)</f>
        <v>50.238845661380878</v>
      </c>
    </row>
    <row r="37" spans="1:9" x14ac:dyDescent="0.25">
      <c r="A37" s="15" t="s">
        <v>592</v>
      </c>
      <c r="B37" s="61">
        <v>2.0100000000000002</v>
      </c>
      <c r="F37" s="15" t="s">
        <v>592</v>
      </c>
      <c r="G37" s="61">
        <v>2.0100000000000002</v>
      </c>
      <c r="H37" t="s">
        <v>145</v>
      </c>
      <c r="I37">
        <f>VLOOKUP(F37,'Staffing Data'!J:N,5,FALSE)</f>
        <v>77.524038461538453</v>
      </c>
    </row>
    <row r="38" spans="1:9" x14ac:dyDescent="0.25">
      <c r="A38" s="15" t="s">
        <v>569</v>
      </c>
      <c r="B38" s="61">
        <v>18.129999999999995</v>
      </c>
      <c r="F38" s="15" t="s">
        <v>569</v>
      </c>
      <c r="G38" s="61">
        <v>18.129999999999995</v>
      </c>
      <c r="H38" t="s">
        <v>145</v>
      </c>
      <c r="I38">
        <f>VLOOKUP(F38,'Staffing Data'!J:N,5,FALSE)</f>
        <v>84.107861835134557</v>
      </c>
    </row>
    <row r="39" spans="1:9" x14ac:dyDescent="0.25">
      <c r="A39" s="15" t="s">
        <v>571</v>
      </c>
      <c r="B39" s="61">
        <v>38.67</v>
      </c>
      <c r="F39" s="15" t="s">
        <v>571</v>
      </c>
      <c r="G39" s="61">
        <v>38.67</v>
      </c>
      <c r="H39" t="s">
        <v>145</v>
      </c>
      <c r="I39">
        <f>VLOOKUP(F39,'Staffing Data'!J:N,5,FALSE)</f>
        <v>72.854051815247445</v>
      </c>
    </row>
    <row r="40" spans="1:9" x14ac:dyDescent="0.25">
      <c r="A40" s="15" t="s">
        <v>572</v>
      </c>
      <c r="B40" s="61">
        <v>2.7800000000000002</v>
      </c>
      <c r="F40" s="15" t="s">
        <v>572</v>
      </c>
      <c r="G40" s="61">
        <v>2.7800000000000002</v>
      </c>
      <c r="H40" t="s">
        <v>145</v>
      </c>
      <c r="I40">
        <f>VLOOKUP(F40,'Staffing Data'!J:N,5,FALSE)</f>
        <v>81.026536995406119</v>
      </c>
    </row>
    <row r="41" spans="1:9" x14ac:dyDescent="0.25">
      <c r="A41" s="15" t="s">
        <v>780</v>
      </c>
      <c r="B41" s="61">
        <v>1.03</v>
      </c>
      <c r="F41" s="15" t="s">
        <v>780</v>
      </c>
      <c r="G41" s="61">
        <v>1.03</v>
      </c>
      <c r="H41" t="s">
        <v>145</v>
      </c>
      <c r="I41">
        <f>VLOOKUP(F41,'Staffing Data'!J:N,5,FALSE)</f>
        <v>72.087378640776691</v>
      </c>
    </row>
    <row r="42" spans="1:9" x14ac:dyDescent="0.25">
      <c r="A42" s="15" t="s">
        <v>657</v>
      </c>
      <c r="B42" s="61">
        <v>1</v>
      </c>
      <c r="F42" s="15" t="s">
        <v>657</v>
      </c>
      <c r="G42" s="61">
        <v>1</v>
      </c>
      <c r="H42" t="s">
        <v>142</v>
      </c>
      <c r="I42">
        <f>VLOOKUP(F42,'Staffing Data'!J:N,5,FALSE)</f>
        <v>30.271153846153844</v>
      </c>
    </row>
    <row r="43" spans="1:9" x14ac:dyDescent="0.25">
      <c r="A43" s="15" t="s">
        <v>574</v>
      </c>
      <c r="B43" s="61">
        <v>1.4300000000000002</v>
      </c>
      <c r="F43" s="15" t="s">
        <v>574</v>
      </c>
      <c r="G43" s="61">
        <v>1.4300000000000002</v>
      </c>
      <c r="H43" t="s">
        <v>143</v>
      </c>
      <c r="I43">
        <f>VLOOKUP(F43,'Staffing Data'!J:N,5,FALSE)</f>
        <v>25.206260616355248</v>
      </c>
    </row>
    <row r="44" spans="1:9" x14ac:dyDescent="0.25">
      <c r="A44" s="15" t="s">
        <v>576</v>
      </c>
      <c r="B44" s="61">
        <v>59.519999999999996</v>
      </c>
      <c r="F44" s="15" t="s">
        <v>576</v>
      </c>
      <c r="G44" s="61">
        <v>59.519999999999996</v>
      </c>
      <c r="H44" t="s">
        <v>143</v>
      </c>
      <c r="I44">
        <f>VLOOKUP(F44,'Staffing Data'!J:N,5,FALSE)</f>
        <v>24.79358124533092</v>
      </c>
    </row>
    <row r="45" spans="1:9" x14ac:dyDescent="0.25">
      <c r="A45" s="15" t="s">
        <v>578</v>
      </c>
      <c r="B45" s="61">
        <v>78.95</v>
      </c>
      <c r="F45" s="15" t="s">
        <v>578</v>
      </c>
      <c r="G45" s="61">
        <v>78.95</v>
      </c>
      <c r="H45" t="s">
        <v>143</v>
      </c>
      <c r="I45">
        <f>VLOOKUP(F45,'Staffing Data'!J:N,5,FALSE)</f>
        <v>27.975604613500472</v>
      </c>
    </row>
    <row r="46" spans="1:9" x14ac:dyDescent="0.25">
      <c r="A46" s="15" t="s">
        <v>335</v>
      </c>
      <c r="B46" s="61">
        <v>0.91</v>
      </c>
      <c r="F46" s="15" t="s">
        <v>335</v>
      </c>
      <c r="G46" s="61">
        <v>0.91</v>
      </c>
      <c r="H46" t="s">
        <v>144</v>
      </c>
      <c r="I46">
        <f>VLOOKUP(F46,'Staffing Data'!J:N,5,FALSE)</f>
        <v>34.171597633136095</v>
      </c>
    </row>
    <row r="47" spans="1:9" x14ac:dyDescent="0.25">
      <c r="A47" s="15" t="s">
        <v>329</v>
      </c>
      <c r="B47" s="61">
        <v>0.46</v>
      </c>
      <c r="F47" s="15" t="s">
        <v>329</v>
      </c>
      <c r="G47" s="61">
        <v>0.46</v>
      </c>
      <c r="H47" t="s">
        <v>144</v>
      </c>
      <c r="I47">
        <f>VLOOKUP(F47,'Staffing Data'!J:N,5,FALSE)</f>
        <v>77.743250127356077</v>
      </c>
    </row>
    <row r="48" spans="1:9" x14ac:dyDescent="0.25">
      <c r="A48" s="15" t="s">
        <v>331</v>
      </c>
      <c r="B48" s="61">
        <v>0.96</v>
      </c>
      <c r="F48" s="15" t="s">
        <v>331</v>
      </c>
      <c r="G48" s="61">
        <v>0.96</v>
      </c>
      <c r="H48" t="s">
        <v>144</v>
      </c>
      <c r="I48">
        <f>VLOOKUP(F48,'Staffing Data'!J:N,5,FALSE)</f>
        <v>31.722659870250233</v>
      </c>
    </row>
    <row r="49" spans="1:9" x14ac:dyDescent="0.25">
      <c r="A49" s="15" t="s">
        <v>330</v>
      </c>
      <c r="B49" s="61">
        <v>0.22000000000000003</v>
      </c>
      <c r="F49" s="15" t="s">
        <v>330</v>
      </c>
      <c r="G49" s="61">
        <v>0.22000000000000003</v>
      </c>
      <c r="H49" t="s">
        <v>144</v>
      </c>
      <c r="I49">
        <f>VLOOKUP(F49,'Staffing Data'!J:N,5,FALSE)</f>
        <v>28.222453222453218</v>
      </c>
    </row>
    <row r="50" spans="1:9" x14ac:dyDescent="0.25">
      <c r="A50" s="15" t="s">
        <v>327</v>
      </c>
      <c r="B50" s="61">
        <v>4.47</v>
      </c>
      <c r="F50" s="15" t="s">
        <v>327</v>
      </c>
      <c r="G50" s="61">
        <v>4.47</v>
      </c>
      <c r="H50" t="s">
        <v>144</v>
      </c>
      <c r="I50">
        <f>VLOOKUP(F50,'Staffing Data'!J:N,5,FALSE)</f>
        <v>47.319747416762333</v>
      </c>
    </row>
    <row r="51" spans="1:9" x14ac:dyDescent="0.25">
      <c r="A51" s="15" t="s">
        <v>326</v>
      </c>
      <c r="B51" s="61">
        <v>0.7</v>
      </c>
      <c r="F51" s="15" t="s">
        <v>326</v>
      </c>
      <c r="G51" s="61">
        <v>0.7</v>
      </c>
      <c r="H51" t="s">
        <v>144</v>
      </c>
      <c r="I51">
        <f>VLOOKUP(F51,'Staffing Data'!J:N,5,FALSE)</f>
        <v>61.912087912087912</v>
      </c>
    </row>
    <row r="52" spans="1:9" x14ac:dyDescent="0.25">
      <c r="A52" s="15" t="s">
        <v>336</v>
      </c>
      <c r="B52" s="61">
        <v>1</v>
      </c>
      <c r="F52" s="15" t="s">
        <v>336</v>
      </c>
      <c r="G52" s="61">
        <v>1</v>
      </c>
      <c r="H52" t="s">
        <v>144</v>
      </c>
      <c r="I52">
        <f>VLOOKUP(F52,'Staffing Data'!J:N,5,FALSE)</f>
        <v>56.740384615384613</v>
      </c>
    </row>
    <row r="53" spans="1:9" x14ac:dyDescent="0.25">
      <c r="A53" s="15" t="s">
        <v>728</v>
      </c>
      <c r="B53" s="61">
        <v>1.1200000000000001</v>
      </c>
      <c r="F53" s="15" t="s">
        <v>728</v>
      </c>
      <c r="G53" s="61">
        <v>1.1200000000000001</v>
      </c>
      <c r="H53" t="s">
        <v>145</v>
      </c>
      <c r="I53">
        <f>VLOOKUP(F53,'Staffing Data'!J:N,5,FALSE)</f>
        <v>57.25961538461538</v>
      </c>
    </row>
    <row r="54" spans="1:9" x14ac:dyDescent="0.25">
      <c r="A54" s="15" t="s">
        <v>922</v>
      </c>
      <c r="B54" s="61"/>
    </row>
    <row r="55" spans="1:9" x14ac:dyDescent="0.25">
      <c r="A55" s="15" t="s">
        <v>516</v>
      </c>
      <c r="B55" s="61">
        <v>389.14</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7"/>
  </sheetPr>
  <dimension ref="A1:V74"/>
  <sheetViews>
    <sheetView zoomScale="80" zoomScaleNormal="80" workbookViewId="0">
      <selection activeCell="E35" sqref="E35"/>
    </sheetView>
  </sheetViews>
  <sheetFormatPr defaultColWidth="9.140625" defaultRowHeight="21" x14ac:dyDescent="0.45"/>
  <cols>
    <col min="1" max="1" width="45.28515625" style="18" customWidth="1"/>
    <col min="2" max="2" width="9.140625" style="32"/>
    <col min="3" max="3" width="2.85546875" style="18" customWidth="1"/>
    <col min="4" max="4" width="45.28515625" style="18" customWidth="1"/>
    <col min="5" max="5" width="9.140625" style="18"/>
    <col min="6" max="6" width="2.85546875" style="18" customWidth="1"/>
    <col min="7" max="7" width="45.28515625" style="18" customWidth="1"/>
    <col min="8" max="8" width="9.140625" style="18"/>
    <col min="9" max="9" width="2.85546875" style="18" customWidth="1"/>
    <col min="10" max="10" width="45.28515625" style="18" customWidth="1"/>
    <col min="11" max="16384" width="9.140625" style="18"/>
  </cols>
  <sheetData>
    <row r="1" spans="1:11" x14ac:dyDescent="0.45">
      <c r="A1" s="188" t="s">
        <v>320</v>
      </c>
      <c r="B1" s="189"/>
      <c r="C1" s="42"/>
      <c r="D1" s="188" t="s">
        <v>24</v>
      </c>
      <c r="E1" s="189"/>
      <c r="F1" s="42"/>
      <c r="G1" s="188" t="s">
        <v>321</v>
      </c>
      <c r="H1" s="189"/>
      <c r="I1" s="42"/>
      <c r="J1" s="188" t="s">
        <v>32</v>
      </c>
      <c r="K1" s="189"/>
    </row>
    <row r="2" spans="1:11" x14ac:dyDescent="0.45">
      <c r="A2" s="42" t="s">
        <v>322</v>
      </c>
      <c r="B2" s="73">
        <v>0.6</v>
      </c>
      <c r="C2" s="42"/>
      <c r="D2" s="42" t="s">
        <v>323</v>
      </c>
      <c r="E2" s="73">
        <v>0.06</v>
      </c>
      <c r="F2" s="42"/>
      <c r="G2" s="42" t="s">
        <v>324</v>
      </c>
      <c r="H2" s="73">
        <v>0.26</v>
      </c>
      <c r="I2" s="42"/>
      <c r="J2" s="42" t="s">
        <v>325</v>
      </c>
      <c r="K2" s="73">
        <v>1</v>
      </c>
    </row>
    <row r="3" spans="1:11" x14ac:dyDescent="0.45">
      <c r="A3" s="42" t="s">
        <v>326</v>
      </c>
      <c r="B3" s="73">
        <v>0.3</v>
      </c>
      <c r="C3" s="42"/>
      <c r="D3" s="42" t="s">
        <v>324</v>
      </c>
      <c r="E3" s="73">
        <v>2</v>
      </c>
      <c r="F3" s="42"/>
      <c r="G3" s="42" t="s">
        <v>322</v>
      </c>
      <c r="H3" s="73">
        <v>2.92</v>
      </c>
      <c r="I3" s="42"/>
      <c r="J3" s="27" t="s">
        <v>34</v>
      </c>
      <c r="K3" s="132">
        <f>SUM(K2)</f>
        <v>1</v>
      </c>
    </row>
    <row r="4" spans="1:11" x14ac:dyDescent="0.45">
      <c r="A4" s="27" t="s">
        <v>34</v>
      </c>
      <c r="B4" s="132">
        <f>SUM(B2:B3)</f>
        <v>0.89999999999999991</v>
      </c>
      <c r="C4" s="42"/>
      <c r="D4" s="42" t="s">
        <v>322</v>
      </c>
      <c r="E4" s="73">
        <v>0.39</v>
      </c>
      <c r="F4" s="42"/>
      <c r="G4" s="42" t="s">
        <v>327</v>
      </c>
      <c r="H4" s="73">
        <v>0.8</v>
      </c>
      <c r="I4" s="42"/>
      <c r="J4" s="42"/>
      <c r="K4" s="73"/>
    </row>
    <row r="5" spans="1:11" x14ac:dyDescent="0.45">
      <c r="A5" s="42"/>
      <c r="B5" s="73"/>
      <c r="C5" s="42"/>
      <c r="D5" s="42" t="s">
        <v>325</v>
      </c>
      <c r="E5" s="73">
        <v>2.0300000000000002</v>
      </c>
      <c r="F5" s="42"/>
      <c r="G5" s="27" t="s">
        <v>34</v>
      </c>
      <c r="H5" s="132">
        <f>SUM(H2:H4)</f>
        <v>3.9799999999999995</v>
      </c>
      <c r="I5" s="42"/>
      <c r="J5" s="188" t="s">
        <v>164</v>
      </c>
      <c r="K5" s="189"/>
    </row>
    <row r="6" spans="1:11" x14ac:dyDescent="0.45">
      <c r="A6" s="188" t="s">
        <v>328</v>
      </c>
      <c r="B6" s="189"/>
      <c r="C6" s="42"/>
      <c r="D6" s="42" t="s">
        <v>329</v>
      </c>
      <c r="E6" s="73">
        <v>0.46</v>
      </c>
      <c r="F6" s="42"/>
      <c r="G6" s="42"/>
      <c r="H6" s="42"/>
      <c r="I6" s="42"/>
      <c r="J6" s="42" t="s">
        <v>330</v>
      </c>
      <c r="K6" s="73">
        <v>0.05</v>
      </c>
    </row>
    <row r="7" spans="1:11" x14ac:dyDescent="0.45">
      <c r="A7" s="42" t="s">
        <v>323</v>
      </c>
      <c r="B7" s="73">
        <v>0.04</v>
      </c>
      <c r="C7" s="42"/>
      <c r="D7" s="42" t="s">
        <v>331</v>
      </c>
      <c r="E7" s="73">
        <v>0.96</v>
      </c>
      <c r="F7" s="42"/>
      <c r="G7" s="188" t="s">
        <v>136</v>
      </c>
      <c r="H7" s="189"/>
      <c r="I7" s="42"/>
      <c r="J7" s="27" t="s">
        <v>34</v>
      </c>
      <c r="K7" s="132">
        <f>SUM(K6)</f>
        <v>0.05</v>
      </c>
    </row>
    <row r="8" spans="1:11" x14ac:dyDescent="0.45">
      <c r="A8" s="42" t="s">
        <v>324</v>
      </c>
      <c r="B8" s="73">
        <v>0.02</v>
      </c>
      <c r="C8" s="42"/>
      <c r="D8" s="42" t="s">
        <v>327</v>
      </c>
      <c r="E8" s="73">
        <v>1</v>
      </c>
      <c r="F8" s="42"/>
      <c r="G8" s="42" t="s">
        <v>325</v>
      </c>
      <c r="H8" s="73">
        <v>0.1</v>
      </c>
      <c r="I8" s="42"/>
      <c r="J8" s="42"/>
      <c r="K8" s="42"/>
    </row>
    <row r="9" spans="1:11" x14ac:dyDescent="0.45">
      <c r="A9" s="42" t="s">
        <v>332</v>
      </c>
      <c r="B9" s="73">
        <v>5.2</v>
      </c>
      <c r="C9" s="42"/>
      <c r="D9" s="27" t="s">
        <v>34</v>
      </c>
      <c r="E9" s="132">
        <f>SUM(E2:E8)</f>
        <v>6.9</v>
      </c>
      <c r="F9" s="42"/>
      <c r="G9" s="42" t="s">
        <v>322</v>
      </c>
      <c r="H9" s="73">
        <v>0.14000000000000001</v>
      </c>
      <c r="I9" s="42"/>
      <c r="J9" s="42"/>
      <c r="K9" s="42"/>
    </row>
    <row r="10" spans="1:11" x14ac:dyDescent="0.45">
      <c r="A10" s="42" t="s">
        <v>333</v>
      </c>
      <c r="B10" s="73">
        <v>3</v>
      </c>
      <c r="C10" s="42"/>
      <c r="D10" s="42"/>
      <c r="E10" s="42"/>
      <c r="F10" s="42"/>
      <c r="G10" s="42" t="s">
        <v>334</v>
      </c>
      <c r="H10" s="73">
        <v>0.01</v>
      </c>
      <c r="I10" s="42"/>
      <c r="J10" s="42"/>
      <c r="K10" s="42"/>
    </row>
    <row r="11" spans="1:11" x14ac:dyDescent="0.45">
      <c r="A11" s="42" t="s">
        <v>335</v>
      </c>
      <c r="B11" s="73">
        <v>0.91</v>
      </c>
      <c r="C11" s="42"/>
      <c r="D11" s="188" t="s">
        <v>25</v>
      </c>
      <c r="E11" s="189"/>
      <c r="F11" s="42"/>
      <c r="G11" s="42" t="s">
        <v>325</v>
      </c>
      <c r="H11" s="73">
        <v>0.8</v>
      </c>
      <c r="I11" s="42"/>
      <c r="J11" s="42"/>
      <c r="K11" s="42"/>
    </row>
    <row r="12" spans="1:11" x14ac:dyDescent="0.45">
      <c r="A12" s="42" t="s">
        <v>330</v>
      </c>
      <c r="B12" s="73">
        <v>7.0000000000000007E-2</v>
      </c>
      <c r="C12" s="42"/>
      <c r="D12" s="42" t="s">
        <v>323</v>
      </c>
      <c r="E12" s="73">
        <v>0.01</v>
      </c>
      <c r="F12" s="42"/>
      <c r="G12" s="42" t="s">
        <v>327</v>
      </c>
      <c r="H12" s="73">
        <v>0.8</v>
      </c>
      <c r="I12" s="42"/>
      <c r="J12" s="42"/>
      <c r="K12" s="42"/>
    </row>
    <row r="13" spans="1:11" x14ac:dyDescent="0.45">
      <c r="A13" s="42" t="s">
        <v>336</v>
      </c>
      <c r="B13" s="73">
        <v>1</v>
      </c>
      <c r="C13" s="42"/>
      <c r="D13" s="42" t="s">
        <v>322</v>
      </c>
      <c r="E13" s="73">
        <v>0.2</v>
      </c>
      <c r="F13" s="42"/>
      <c r="G13" s="27" t="s">
        <v>34</v>
      </c>
      <c r="H13" s="132">
        <f>SUM(H8:H12)</f>
        <v>1.85</v>
      </c>
      <c r="I13" s="42"/>
      <c r="J13" s="42"/>
      <c r="K13" s="42"/>
    </row>
    <row r="14" spans="1:11" x14ac:dyDescent="0.45">
      <c r="A14" s="27" t="s">
        <v>34</v>
      </c>
      <c r="B14" s="132">
        <f>SUM(B7:B13)</f>
        <v>10.24</v>
      </c>
      <c r="C14" s="42"/>
      <c r="D14" s="42" t="s">
        <v>327</v>
      </c>
      <c r="E14" s="73">
        <v>0.87</v>
      </c>
      <c r="F14" s="42"/>
      <c r="G14" s="42"/>
      <c r="H14" s="73"/>
      <c r="I14" s="42"/>
      <c r="J14" s="42"/>
      <c r="K14" s="42"/>
    </row>
    <row r="15" spans="1:11" x14ac:dyDescent="0.45">
      <c r="A15" s="42"/>
      <c r="B15" s="73"/>
      <c r="C15" s="42"/>
      <c r="D15" s="27" t="s">
        <v>34</v>
      </c>
      <c r="E15" s="132">
        <f>SUM(E12:E14)</f>
        <v>1.08</v>
      </c>
      <c r="F15" s="42"/>
      <c r="G15" s="188" t="s">
        <v>30</v>
      </c>
      <c r="H15" s="189"/>
      <c r="I15" s="42"/>
      <c r="J15" s="42"/>
      <c r="K15" s="42"/>
    </row>
    <row r="16" spans="1:11" x14ac:dyDescent="0.45">
      <c r="A16" s="188" t="s">
        <v>23</v>
      </c>
      <c r="B16" s="189"/>
      <c r="C16" s="42"/>
      <c r="D16" s="42"/>
      <c r="E16" s="73"/>
      <c r="F16" s="42"/>
      <c r="G16" s="42" t="s">
        <v>324</v>
      </c>
      <c r="H16" s="73">
        <v>1</v>
      </c>
      <c r="I16" s="42"/>
      <c r="J16" s="42"/>
      <c r="K16" s="42"/>
    </row>
    <row r="17" spans="1:22" x14ac:dyDescent="0.45">
      <c r="A17" s="42" t="s">
        <v>323</v>
      </c>
      <c r="B17" s="73">
        <v>0.22</v>
      </c>
      <c r="C17" s="42"/>
      <c r="D17" s="188" t="s">
        <v>337</v>
      </c>
      <c r="E17" s="189"/>
      <c r="F17" s="42"/>
      <c r="G17" s="42" t="s">
        <v>322</v>
      </c>
      <c r="H17" s="73">
        <v>1</v>
      </c>
      <c r="I17" s="42"/>
      <c r="J17" s="42"/>
      <c r="K17" s="42"/>
    </row>
    <row r="18" spans="1:22" x14ac:dyDescent="0.45">
      <c r="A18" s="42" t="s">
        <v>322</v>
      </c>
      <c r="B18" s="73">
        <v>-0.09</v>
      </c>
      <c r="C18" s="42"/>
      <c r="D18" s="42" t="s">
        <v>325</v>
      </c>
      <c r="E18" s="73">
        <v>1.1200000000000001</v>
      </c>
      <c r="F18" s="42"/>
      <c r="G18" s="42" t="s">
        <v>325</v>
      </c>
      <c r="H18" s="73">
        <v>1.02</v>
      </c>
      <c r="I18" s="42"/>
      <c r="J18" s="42"/>
      <c r="K18" s="42"/>
    </row>
    <row r="19" spans="1:22" x14ac:dyDescent="0.45">
      <c r="A19" s="42" t="s">
        <v>330</v>
      </c>
      <c r="B19" s="73">
        <v>0.05</v>
      </c>
      <c r="C19" s="42"/>
      <c r="D19" s="27" t="s">
        <v>34</v>
      </c>
      <c r="E19" s="132">
        <f>SUM(E18)</f>
        <v>1.1200000000000001</v>
      </c>
      <c r="F19" s="42"/>
      <c r="G19" s="42" t="s">
        <v>326</v>
      </c>
      <c r="H19" s="73">
        <v>0.4</v>
      </c>
      <c r="I19" s="42"/>
      <c r="J19" s="42"/>
      <c r="K19" s="42"/>
    </row>
    <row r="20" spans="1:22" x14ac:dyDescent="0.45">
      <c r="A20" s="27" t="s">
        <v>34</v>
      </c>
      <c r="B20" s="132">
        <f>SUM(B17:B19)</f>
        <v>0.18</v>
      </c>
      <c r="C20" s="42"/>
      <c r="D20" s="42"/>
      <c r="E20" s="73"/>
      <c r="F20" s="42"/>
      <c r="G20" s="27" t="s">
        <v>34</v>
      </c>
      <c r="H20" s="132">
        <f>SUM(H16:H19)</f>
        <v>3.42</v>
      </c>
      <c r="I20" s="42"/>
      <c r="J20" s="42"/>
      <c r="K20" s="42"/>
    </row>
    <row r="21" spans="1:22" x14ac:dyDescent="0.45">
      <c r="A21" s="42"/>
      <c r="B21" s="73"/>
      <c r="C21" s="42"/>
      <c r="D21" s="188" t="s">
        <v>338</v>
      </c>
      <c r="E21" s="189"/>
      <c r="F21" s="42"/>
      <c r="G21" s="42"/>
      <c r="H21" s="42"/>
      <c r="I21" s="42"/>
      <c r="J21" s="42"/>
      <c r="K21" s="42"/>
    </row>
    <row r="22" spans="1:22" x14ac:dyDescent="0.45">
      <c r="A22" s="42"/>
      <c r="B22" s="73"/>
      <c r="C22" s="42"/>
      <c r="D22" s="42" t="s">
        <v>330</v>
      </c>
      <c r="E22" s="73">
        <v>0.05</v>
      </c>
      <c r="F22" s="42"/>
      <c r="G22" s="42"/>
      <c r="H22" s="42"/>
      <c r="I22" s="42"/>
      <c r="J22" s="42"/>
      <c r="K22" s="42"/>
    </row>
    <row r="23" spans="1:22" x14ac:dyDescent="0.45">
      <c r="A23" s="42"/>
      <c r="B23" s="73"/>
      <c r="C23" s="42"/>
      <c r="D23" s="42" t="s">
        <v>327</v>
      </c>
      <c r="E23" s="73">
        <v>1</v>
      </c>
      <c r="F23" s="42"/>
      <c r="G23" s="42"/>
      <c r="H23" s="42"/>
      <c r="I23" s="42"/>
      <c r="J23" s="42"/>
      <c r="K23" s="42"/>
      <c r="V23" s="32"/>
    </row>
    <row r="24" spans="1:22" x14ac:dyDescent="0.45">
      <c r="A24" s="42"/>
      <c r="B24" s="73"/>
      <c r="C24" s="42"/>
      <c r="D24" s="27" t="s">
        <v>34</v>
      </c>
      <c r="E24" s="132">
        <f>SUM(E22:E23)</f>
        <v>1.05</v>
      </c>
      <c r="F24" s="42"/>
      <c r="G24" s="42"/>
      <c r="H24" s="42"/>
      <c r="I24" s="42"/>
      <c r="J24" s="42"/>
      <c r="K24" s="42"/>
    </row>
    <row r="25" spans="1:22" x14ac:dyDescent="0.45">
      <c r="A25" s="42"/>
      <c r="B25" s="73"/>
      <c r="C25" s="42"/>
      <c r="D25" s="42"/>
      <c r="E25" s="42"/>
      <c r="F25" s="42"/>
      <c r="G25" s="42"/>
      <c r="H25" s="42"/>
      <c r="I25" s="42"/>
      <c r="J25" s="42"/>
      <c r="K25" s="42"/>
    </row>
    <row r="26" spans="1:22" x14ac:dyDescent="0.45">
      <c r="A26" s="42"/>
      <c r="B26" s="73"/>
      <c r="C26" s="42"/>
      <c r="D26" s="42"/>
      <c r="E26" s="42"/>
      <c r="F26" s="42"/>
      <c r="G26" s="42"/>
      <c r="H26" s="42"/>
      <c r="I26" s="42"/>
      <c r="J26" s="42"/>
      <c r="K26" s="42"/>
    </row>
    <row r="32" spans="1:22" x14ac:dyDescent="0.45">
      <c r="B32" s="18"/>
    </row>
    <row r="33" spans="2:2" x14ac:dyDescent="0.45">
      <c r="B33" s="18"/>
    </row>
    <row r="34" spans="2:2" x14ac:dyDescent="0.45">
      <c r="B34" s="18"/>
    </row>
    <row r="35" spans="2:2" x14ac:dyDescent="0.45">
      <c r="B35" s="18"/>
    </row>
    <row r="36" spans="2:2" x14ac:dyDescent="0.45">
      <c r="B36" s="18"/>
    </row>
    <row r="38" spans="2:2" x14ac:dyDescent="0.45">
      <c r="B38" s="18"/>
    </row>
    <row r="39" spans="2:2" x14ac:dyDescent="0.45">
      <c r="B39" s="18"/>
    </row>
    <row r="40" spans="2:2" x14ac:dyDescent="0.45">
      <c r="B40" s="18"/>
    </row>
    <row r="42" spans="2:2" x14ac:dyDescent="0.45">
      <c r="B42" s="18"/>
    </row>
    <row r="43" spans="2:2" x14ac:dyDescent="0.45">
      <c r="B43" s="18"/>
    </row>
    <row r="44" spans="2:2" x14ac:dyDescent="0.45">
      <c r="B44" s="18"/>
    </row>
    <row r="45" spans="2:2" x14ac:dyDescent="0.45">
      <c r="B45" s="18"/>
    </row>
    <row r="46" spans="2:2" x14ac:dyDescent="0.45">
      <c r="B46" s="18"/>
    </row>
    <row r="47" spans="2:2" x14ac:dyDescent="0.45">
      <c r="B47" s="18"/>
    </row>
    <row r="48" spans="2:2" x14ac:dyDescent="0.45">
      <c r="B48" s="18"/>
    </row>
    <row r="49" spans="2:2" x14ac:dyDescent="0.45">
      <c r="B49" s="18"/>
    </row>
    <row r="50" spans="2:2" x14ac:dyDescent="0.45">
      <c r="B50" s="18"/>
    </row>
    <row r="51" spans="2:2" x14ac:dyDescent="0.45">
      <c r="B51" s="18"/>
    </row>
    <row r="53" spans="2:2" x14ac:dyDescent="0.45">
      <c r="B53" s="18"/>
    </row>
    <row r="54" spans="2:2" x14ac:dyDescent="0.45">
      <c r="B54" s="18"/>
    </row>
    <row r="55" spans="2:2" x14ac:dyDescent="0.45">
      <c r="B55" s="18"/>
    </row>
    <row r="56" spans="2:2" x14ac:dyDescent="0.45">
      <c r="B56" s="18"/>
    </row>
    <row r="57" spans="2:2" x14ac:dyDescent="0.45">
      <c r="B57" s="18"/>
    </row>
    <row r="58" spans="2:2" x14ac:dyDescent="0.45">
      <c r="B58" s="18"/>
    </row>
    <row r="59" spans="2:2" x14ac:dyDescent="0.45">
      <c r="B59" s="18"/>
    </row>
    <row r="61" spans="2:2" x14ac:dyDescent="0.45">
      <c r="B61" s="18"/>
    </row>
    <row r="62" spans="2:2" x14ac:dyDescent="0.45">
      <c r="B62" s="18"/>
    </row>
    <row r="63" spans="2:2" x14ac:dyDescent="0.45">
      <c r="B63" s="18"/>
    </row>
    <row r="64" spans="2:2" x14ac:dyDescent="0.45">
      <c r="B64" s="18"/>
    </row>
    <row r="65" spans="2:2" x14ac:dyDescent="0.45">
      <c r="B65" s="18"/>
    </row>
    <row r="66" spans="2:2" x14ac:dyDescent="0.45">
      <c r="B66" s="18"/>
    </row>
    <row r="68" spans="2:2" x14ac:dyDescent="0.45">
      <c r="B68" s="18"/>
    </row>
    <row r="69" spans="2:2" x14ac:dyDescent="0.45">
      <c r="B69" s="18"/>
    </row>
    <row r="70" spans="2:2" x14ac:dyDescent="0.45">
      <c r="B70" s="18"/>
    </row>
    <row r="72" spans="2:2" x14ac:dyDescent="0.45">
      <c r="B72" s="18"/>
    </row>
    <row r="73" spans="2:2" x14ac:dyDescent="0.45">
      <c r="B73" s="18"/>
    </row>
    <row r="74" spans="2:2" x14ac:dyDescent="0.45">
      <c r="B74" s="18"/>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
  <sheetViews>
    <sheetView workbookViewId="0">
      <selection activeCell="J35" sqref="J35"/>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T26"/>
  <sheetViews>
    <sheetView zoomScale="80" zoomScaleNormal="80" workbookViewId="0">
      <selection activeCell="P10" sqref="P10"/>
    </sheetView>
  </sheetViews>
  <sheetFormatPr defaultColWidth="9.140625" defaultRowHeight="21" x14ac:dyDescent="0.45"/>
  <cols>
    <col min="1" max="1" width="4.140625" style="18" customWidth="1"/>
    <col min="2" max="2" width="23.140625" style="18" bestFit="1" customWidth="1"/>
    <col min="3" max="3" width="13" style="19" customWidth="1"/>
    <col min="4" max="4" width="9.28515625" style="32" bestFit="1" customWidth="1"/>
    <col min="5" max="5" width="14.7109375" style="19" customWidth="1"/>
    <col min="6" max="6" width="14.7109375" style="18" customWidth="1"/>
    <col min="7" max="7" width="13.42578125" style="19" bestFit="1" customWidth="1"/>
    <col min="8" max="10" width="13.42578125" style="19" hidden="1" customWidth="1"/>
    <col min="11" max="11" width="24.28515625" style="32" customWidth="1"/>
    <col min="12" max="12" width="2.42578125" style="18" customWidth="1"/>
    <col min="13" max="13" width="14.7109375" style="69" customWidth="1"/>
    <col min="14" max="14" width="2.42578125" style="18" customWidth="1"/>
    <col min="15" max="16" width="13.5703125" style="19" customWidth="1"/>
    <col min="17" max="17" width="13.5703125" style="18" customWidth="1"/>
    <col min="18" max="18" width="3.28515625" style="18" customWidth="1"/>
    <col min="19" max="19" width="21.7109375" style="19" customWidth="1"/>
    <col min="20" max="16384" width="9.140625" style="18"/>
  </cols>
  <sheetData>
    <row r="1" spans="1:20" x14ac:dyDescent="0.45">
      <c r="A1" s="42"/>
      <c r="B1" s="42"/>
      <c r="C1" s="44"/>
      <c r="D1" s="73"/>
      <c r="E1" s="44"/>
      <c r="F1" s="42"/>
      <c r="G1" s="44"/>
      <c r="H1" s="44"/>
      <c r="I1" s="44"/>
      <c r="J1" s="44"/>
      <c r="K1" s="73"/>
      <c r="L1" s="42"/>
      <c r="M1" s="71"/>
      <c r="N1" s="42"/>
      <c r="O1" s="44"/>
      <c r="P1" s="44"/>
      <c r="Q1" s="42"/>
      <c r="R1" s="42"/>
      <c r="S1" s="44"/>
      <c r="T1" s="42"/>
    </row>
    <row r="2" spans="1:20" s="81" customFormat="1" ht="42" x14ac:dyDescent="0.25">
      <c r="A2" s="77"/>
      <c r="B2" s="77"/>
      <c r="C2" s="78"/>
      <c r="D2" s="79"/>
      <c r="E2" s="78"/>
      <c r="F2" s="77"/>
      <c r="G2" s="78"/>
      <c r="H2" s="78"/>
      <c r="I2" s="78"/>
      <c r="J2" s="78"/>
      <c r="K2" s="79"/>
      <c r="L2" s="77"/>
      <c r="M2" s="94" t="s">
        <v>0</v>
      </c>
      <c r="N2" s="77"/>
      <c r="O2" s="239" t="s">
        <v>1</v>
      </c>
      <c r="P2" s="239"/>
      <c r="Q2" s="240"/>
      <c r="R2" s="77"/>
      <c r="S2" s="80" t="s">
        <v>2</v>
      </c>
      <c r="T2" s="77"/>
    </row>
    <row r="3" spans="1:20" s="23" customFormat="1" ht="65.25" x14ac:dyDescent="0.45">
      <c r="A3" s="41"/>
      <c r="B3" s="48" t="s">
        <v>3</v>
      </c>
      <c r="C3" s="49" t="s">
        <v>4</v>
      </c>
      <c r="D3" s="51" t="s">
        <v>5</v>
      </c>
      <c r="E3" s="54" t="s">
        <v>6</v>
      </c>
      <c r="F3" s="49" t="s">
        <v>7</v>
      </c>
      <c r="G3" s="53" t="s">
        <v>8</v>
      </c>
      <c r="H3" s="75" t="s">
        <v>9</v>
      </c>
      <c r="I3" s="75" t="s">
        <v>10</v>
      </c>
      <c r="J3" s="75" t="s">
        <v>11</v>
      </c>
      <c r="K3" s="51" t="s">
        <v>12</v>
      </c>
      <c r="L3" s="41"/>
      <c r="M3" s="95" t="s">
        <v>13</v>
      </c>
      <c r="N3" s="41"/>
      <c r="O3" s="22" t="s">
        <v>13</v>
      </c>
      <c r="P3" s="55" t="s">
        <v>14</v>
      </c>
      <c r="Q3" s="22" t="s">
        <v>15</v>
      </c>
      <c r="R3" s="41"/>
      <c r="S3" s="76" t="s">
        <v>16</v>
      </c>
      <c r="T3" s="41"/>
    </row>
    <row r="4" spans="1:20" x14ac:dyDescent="0.45">
      <c r="A4" s="42"/>
      <c r="B4" s="18" t="s">
        <v>17</v>
      </c>
      <c r="C4" s="19">
        <v>27441</v>
      </c>
      <c r="D4" s="32">
        <v>16.21</v>
      </c>
      <c r="E4" s="19">
        <v>24</v>
      </c>
      <c r="F4" s="33">
        <v>0.67541666666666667</v>
      </c>
      <c r="G4" s="19">
        <v>1692.8439235040098</v>
      </c>
      <c r="H4" s="19">
        <v>1920</v>
      </c>
      <c r="I4" s="19" t="e">
        <v>#REF!</v>
      </c>
      <c r="J4" s="19" t="e">
        <v>#REF!</v>
      </c>
      <c r="K4" s="82">
        <v>1.1910156249999999</v>
      </c>
      <c r="L4" s="42"/>
      <c r="M4" s="69">
        <v>0.5</v>
      </c>
      <c r="N4" s="42"/>
      <c r="O4" s="19">
        <v>2228</v>
      </c>
      <c r="P4" s="19">
        <v>2783</v>
      </c>
      <c r="Q4" s="19">
        <v>4731</v>
      </c>
      <c r="R4" s="42"/>
      <c r="S4" s="19">
        <v>1231</v>
      </c>
      <c r="T4" s="42"/>
    </row>
    <row r="5" spans="1:20" x14ac:dyDescent="0.45">
      <c r="A5" s="42"/>
      <c r="B5" s="45" t="s">
        <v>18</v>
      </c>
      <c r="C5" s="46">
        <v>1273</v>
      </c>
      <c r="D5" s="74">
        <v>0</v>
      </c>
      <c r="E5" s="46">
        <v>0</v>
      </c>
      <c r="F5" s="56"/>
      <c r="G5" s="46">
        <v>0</v>
      </c>
      <c r="H5" s="46">
        <v>1920</v>
      </c>
      <c r="I5" s="46" t="e">
        <v>#REF!</v>
      </c>
      <c r="J5" s="46" t="e">
        <v>#REF!</v>
      </c>
      <c r="K5" s="83">
        <v>6.6302083333333331E-2</v>
      </c>
      <c r="L5" s="42"/>
      <c r="M5" s="72"/>
      <c r="N5" s="42"/>
      <c r="O5" s="46" t="s">
        <v>19</v>
      </c>
      <c r="P5" s="46" t="s">
        <v>19</v>
      </c>
      <c r="Q5" s="46" t="s">
        <v>19</v>
      </c>
      <c r="R5" s="42"/>
      <c r="S5" s="46">
        <v>0</v>
      </c>
      <c r="T5" s="42"/>
    </row>
    <row r="6" spans="1:20" x14ac:dyDescent="0.45">
      <c r="A6" s="42"/>
      <c r="B6" s="18" t="s">
        <v>20</v>
      </c>
      <c r="C6" s="19">
        <v>1968</v>
      </c>
      <c r="D6" s="32">
        <v>0</v>
      </c>
      <c r="E6" s="19">
        <v>0</v>
      </c>
      <c r="F6" s="33"/>
      <c r="G6" s="19">
        <v>0</v>
      </c>
      <c r="H6" s="19">
        <v>1920</v>
      </c>
      <c r="I6" s="19" t="e">
        <v>#REF!</v>
      </c>
      <c r="J6" s="19" t="e">
        <v>#REF!</v>
      </c>
      <c r="K6" s="82">
        <v>0.51249999999999996</v>
      </c>
      <c r="L6" s="42"/>
      <c r="M6" s="69">
        <v>0.39</v>
      </c>
      <c r="N6" s="42"/>
      <c r="O6" s="19" t="s">
        <v>19</v>
      </c>
      <c r="P6" s="19" t="s">
        <v>19</v>
      </c>
      <c r="Q6" s="19" t="s">
        <v>19</v>
      </c>
      <c r="R6" s="42"/>
      <c r="S6" s="19">
        <v>0</v>
      </c>
      <c r="T6" s="42"/>
    </row>
    <row r="7" spans="1:20" x14ac:dyDescent="0.45">
      <c r="A7" s="42"/>
      <c r="B7" s="45" t="s">
        <v>21</v>
      </c>
      <c r="C7" s="46">
        <v>28105.273715906827</v>
      </c>
      <c r="D7" s="74">
        <v>11.43</v>
      </c>
      <c r="E7" s="46">
        <v>25</v>
      </c>
      <c r="F7" s="56">
        <v>0.4572</v>
      </c>
      <c r="G7" s="46">
        <v>2458.9040871309562</v>
      </c>
      <c r="H7" s="46">
        <v>1920</v>
      </c>
      <c r="I7" s="46" t="e">
        <v>#REF!</v>
      </c>
      <c r="J7" s="46" t="e">
        <v>#REF!</v>
      </c>
      <c r="K7" s="83">
        <v>0.457442606053171</v>
      </c>
      <c r="L7" s="42"/>
      <c r="M7" s="72">
        <v>0.41</v>
      </c>
      <c r="N7" s="42"/>
      <c r="O7" s="46">
        <v>2133</v>
      </c>
      <c r="P7" s="46">
        <v>2888</v>
      </c>
      <c r="Q7" s="46">
        <v>3604</v>
      </c>
      <c r="R7" s="42"/>
      <c r="S7" s="46">
        <v>2061</v>
      </c>
      <c r="T7" s="42"/>
    </row>
    <row r="8" spans="1:20" x14ac:dyDescent="0.45">
      <c r="A8" s="42"/>
      <c r="B8" s="18" t="s">
        <v>22</v>
      </c>
      <c r="C8" s="19">
        <v>33194</v>
      </c>
      <c r="D8" s="32">
        <v>0</v>
      </c>
      <c r="E8" s="19">
        <v>0</v>
      </c>
      <c r="F8" s="33"/>
      <c r="G8" s="19">
        <v>0</v>
      </c>
      <c r="H8" s="19">
        <v>1920</v>
      </c>
      <c r="I8" s="19" t="e">
        <v>#REF!</v>
      </c>
      <c r="J8" s="19" t="e">
        <v>#REF!</v>
      </c>
      <c r="K8" s="82">
        <v>2.4697916666666666</v>
      </c>
      <c r="L8" s="42"/>
      <c r="N8" s="42"/>
      <c r="O8" s="19">
        <v>0</v>
      </c>
      <c r="P8" s="19">
        <v>0</v>
      </c>
      <c r="Q8" s="19">
        <v>0</v>
      </c>
      <c r="R8" s="42"/>
      <c r="S8" s="19">
        <v>0</v>
      </c>
      <c r="T8" s="42"/>
    </row>
    <row r="9" spans="1:20" x14ac:dyDescent="0.45">
      <c r="A9" s="42"/>
      <c r="B9" s="45" t="s">
        <v>23</v>
      </c>
      <c r="C9" s="46">
        <v>24180.300030194248</v>
      </c>
      <c r="D9" s="74">
        <v>4.8</v>
      </c>
      <c r="E9" s="46">
        <v>12</v>
      </c>
      <c r="F9" s="56">
        <v>0.39999999999999997</v>
      </c>
      <c r="G9" s="46">
        <v>5037.5625062904683</v>
      </c>
      <c r="H9" s="46">
        <v>1920</v>
      </c>
      <c r="I9" s="46" t="e">
        <v>#REF!</v>
      </c>
      <c r="J9" s="46" t="e">
        <v>#REF!</v>
      </c>
      <c r="K9" s="83">
        <v>0.48438101022023733</v>
      </c>
      <c r="L9" s="42"/>
      <c r="M9" s="72">
        <v>0.43</v>
      </c>
      <c r="N9" s="42"/>
      <c r="O9" s="46">
        <v>1737</v>
      </c>
      <c r="P9" s="46">
        <v>2248</v>
      </c>
      <c r="Q9" s="46">
        <v>2961</v>
      </c>
      <c r="R9" s="42"/>
      <c r="S9" s="46">
        <v>2349</v>
      </c>
      <c r="T9" s="42"/>
    </row>
    <row r="10" spans="1:20" x14ac:dyDescent="0.45">
      <c r="A10" s="42"/>
      <c r="B10" s="18" t="s">
        <v>24</v>
      </c>
      <c r="C10" s="19">
        <v>32205.07868601986</v>
      </c>
      <c r="D10" s="32">
        <v>21.32</v>
      </c>
      <c r="E10" s="19">
        <v>48</v>
      </c>
      <c r="F10" s="33">
        <v>0.44416666666666665</v>
      </c>
      <c r="G10" s="19">
        <v>1510.5571616332018</v>
      </c>
      <c r="H10" s="19">
        <v>1920</v>
      </c>
      <c r="I10" s="19" t="e">
        <v>#REF!</v>
      </c>
      <c r="J10" s="19" t="e">
        <v>#REF!</v>
      </c>
      <c r="K10" s="82">
        <v>0.399368535292905</v>
      </c>
      <c r="L10" s="42"/>
      <c r="M10" s="69">
        <v>0.44</v>
      </c>
      <c r="N10" s="42"/>
      <c r="O10" s="19">
        <v>1700</v>
      </c>
      <c r="P10" s="19">
        <v>2336</v>
      </c>
      <c r="Q10" s="19">
        <v>2852</v>
      </c>
      <c r="R10" s="42"/>
      <c r="S10" s="19">
        <v>2349</v>
      </c>
      <c r="T10" s="42"/>
    </row>
    <row r="11" spans="1:20" x14ac:dyDescent="0.45">
      <c r="A11" s="42"/>
      <c r="B11" s="45" t="s">
        <v>25</v>
      </c>
      <c r="C11" s="46">
        <v>19671.537930240589</v>
      </c>
      <c r="D11" s="74">
        <v>14.9</v>
      </c>
      <c r="E11" s="46">
        <v>26</v>
      </c>
      <c r="F11" s="56">
        <v>0.57307692307692304</v>
      </c>
      <c r="G11" s="46">
        <v>1320.2374449825897</v>
      </c>
      <c r="H11" s="46">
        <v>1920</v>
      </c>
      <c r="I11" s="46" t="e">
        <v>#REF!</v>
      </c>
      <c r="J11" s="46" t="e">
        <v>#REF!</v>
      </c>
      <c r="K11" s="83">
        <v>0.44546055095653508</v>
      </c>
      <c r="L11" s="42"/>
      <c r="M11" s="72">
        <v>0.54</v>
      </c>
      <c r="N11" s="42"/>
      <c r="O11" s="46">
        <v>2022</v>
      </c>
      <c r="P11" s="46">
        <v>4058</v>
      </c>
      <c r="Q11" s="46">
        <v>4264</v>
      </c>
      <c r="R11" s="42"/>
      <c r="S11" s="46">
        <v>1725</v>
      </c>
      <c r="T11" s="42"/>
    </row>
    <row r="12" spans="1:20" x14ac:dyDescent="0.45">
      <c r="A12" s="42"/>
      <c r="B12" s="18" t="s">
        <v>26</v>
      </c>
      <c r="C12" s="19">
        <v>19232.991318074193</v>
      </c>
      <c r="D12" s="32">
        <v>13.5</v>
      </c>
      <c r="E12" s="19">
        <v>18</v>
      </c>
      <c r="F12" s="33">
        <v>0.75</v>
      </c>
      <c r="G12" s="19">
        <v>1424.6660235610514</v>
      </c>
      <c r="H12" s="19">
        <v>1920</v>
      </c>
      <c r="I12" s="19" t="e">
        <v>#REF!</v>
      </c>
      <c r="J12" s="19" t="e">
        <v>#REF!</v>
      </c>
      <c r="K12" s="82">
        <v>0.52722015674545486</v>
      </c>
      <c r="L12" s="42"/>
      <c r="M12" s="69">
        <v>0.59</v>
      </c>
      <c r="N12" s="42"/>
      <c r="O12" s="19">
        <v>2457</v>
      </c>
      <c r="P12" s="19">
        <v>3198</v>
      </c>
      <c r="Q12" s="19">
        <v>4443</v>
      </c>
      <c r="R12" s="42"/>
      <c r="S12" s="19">
        <v>0</v>
      </c>
      <c r="T12" s="42"/>
    </row>
    <row r="13" spans="1:20" x14ac:dyDescent="0.45">
      <c r="A13" s="42"/>
      <c r="B13" s="45" t="s">
        <v>27</v>
      </c>
      <c r="C13" s="46">
        <v>8235.6534567544113</v>
      </c>
      <c r="D13" s="74">
        <v>7.15</v>
      </c>
      <c r="E13" s="46">
        <v>9</v>
      </c>
      <c r="F13" s="56">
        <v>0.79444444444444451</v>
      </c>
      <c r="G13" s="46">
        <v>1151.8396443013162</v>
      </c>
      <c r="H13" s="46">
        <v>1920</v>
      </c>
      <c r="I13" s="46" t="e">
        <v>#REF!</v>
      </c>
      <c r="J13" s="46" t="e">
        <v>#REF!</v>
      </c>
      <c r="K13" s="83">
        <v>0.38994571291450814</v>
      </c>
      <c r="L13" s="42"/>
      <c r="M13" s="72">
        <v>0.41</v>
      </c>
      <c r="N13" s="42"/>
      <c r="O13" s="46">
        <v>0</v>
      </c>
      <c r="P13" s="46">
        <v>0</v>
      </c>
      <c r="Q13" s="46">
        <v>0</v>
      </c>
      <c r="R13" s="42"/>
      <c r="S13" s="46">
        <v>0</v>
      </c>
      <c r="T13" s="42"/>
    </row>
    <row r="14" spans="1:20" x14ac:dyDescent="0.45">
      <c r="A14" s="42"/>
      <c r="B14" s="18" t="s">
        <v>28</v>
      </c>
      <c r="C14" s="19">
        <v>21952.354148109469</v>
      </c>
      <c r="D14" s="32">
        <v>28.35</v>
      </c>
      <c r="E14" s="19">
        <v>52</v>
      </c>
      <c r="F14" s="33">
        <v>0.54519230769230775</v>
      </c>
      <c r="G14" s="19">
        <v>774.33347965112762</v>
      </c>
      <c r="H14" s="19">
        <v>1920</v>
      </c>
      <c r="I14" s="19" t="e">
        <v>#REF!</v>
      </c>
      <c r="J14" s="19" t="e">
        <v>#REF!</v>
      </c>
      <c r="K14" s="82">
        <v>0.25407817301052626</v>
      </c>
      <c r="L14" s="42"/>
      <c r="M14" s="69">
        <v>0.45</v>
      </c>
      <c r="N14" s="42"/>
      <c r="O14" s="19">
        <v>2371</v>
      </c>
      <c r="P14" s="19">
        <v>3606</v>
      </c>
      <c r="Q14" s="19">
        <v>4366</v>
      </c>
      <c r="R14" s="42"/>
      <c r="S14" s="19">
        <v>2771</v>
      </c>
      <c r="T14" s="42"/>
    </row>
    <row r="15" spans="1:20" x14ac:dyDescent="0.45">
      <c r="A15" s="42"/>
      <c r="B15" s="45" t="s">
        <v>29</v>
      </c>
      <c r="C15" s="46">
        <v>4346.5463733650422</v>
      </c>
      <c r="D15" s="74">
        <v>3.96</v>
      </c>
      <c r="E15" s="46">
        <v>8</v>
      </c>
      <c r="F15" s="56">
        <v>0.495</v>
      </c>
      <c r="G15" s="46">
        <v>1097.6127205467278</v>
      </c>
      <c r="H15" s="46">
        <v>1920</v>
      </c>
      <c r="I15" s="46" t="e">
        <v>#REF!</v>
      </c>
      <c r="J15" s="46" t="e">
        <v>#REF!</v>
      </c>
      <c r="K15" s="83">
        <v>0.3234037480182323</v>
      </c>
      <c r="L15" s="42"/>
      <c r="M15" s="72"/>
      <c r="N15" s="42"/>
      <c r="O15" s="46">
        <v>0</v>
      </c>
      <c r="P15" s="46">
        <v>0</v>
      </c>
      <c r="Q15" s="46">
        <v>0</v>
      </c>
      <c r="R15" s="42"/>
      <c r="S15" s="46">
        <v>1000</v>
      </c>
      <c r="T15" s="42"/>
    </row>
    <row r="16" spans="1:20" x14ac:dyDescent="0.45">
      <c r="A16" s="42"/>
      <c r="B16" s="18" t="s">
        <v>30</v>
      </c>
      <c r="C16" s="19">
        <v>14895.563643403349</v>
      </c>
      <c r="D16" s="32">
        <v>11.35</v>
      </c>
      <c r="E16" s="19">
        <v>19</v>
      </c>
      <c r="F16" s="33">
        <v>0.59736842105263155</v>
      </c>
      <c r="G16" s="19">
        <v>1312.3844619738634</v>
      </c>
      <c r="H16" s="19">
        <v>1920</v>
      </c>
      <c r="I16" s="19" t="e">
        <v>#REF!</v>
      </c>
      <c r="J16" s="19" t="e">
        <v>#REF!</v>
      </c>
      <c r="K16" s="82">
        <v>0.35264118473966261</v>
      </c>
      <c r="L16" s="42"/>
      <c r="M16" s="69">
        <v>0.32</v>
      </c>
      <c r="N16" s="42"/>
      <c r="O16" s="19">
        <v>1539</v>
      </c>
      <c r="P16" s="19">
        <v>2048</v>
      </c>
      <c r="Q16" s="19">
        <v>2923</v>
      </c>
      <c r="R16" s="42"/>
      <c r="S16" s="19">
        <v>1300</v>
      </c>
      <c r="T16" s="42"/>
    </row>
    <row r="17" spans="1:20" x14ac:dyDescent="0.45">
      <c r="A17" s="42"/>
      <c r="B17" s="45" t="s">
        <v>31</v>
      </c>
      <c r="C17" s="46">
        <v>13176.500372300818</v>
      </c>
      <c r="D17" s="74">
        <v>7.06</v>
      </c>
      <c r="E17" s="46">
        <v>10</v>
      </c>
      <c r="F17" s="56">
        <v>0.70599999999999996</v>
      </c>
      <c r="G17" s="46">
        <v>1866.3598261049317</v>
      </c>
      <c r="H17" s="46">
        <v>1920</v>
      </c>
      <c r="I17" s="46" t="e">
        <v>#REF!</v>
      </c>
      <c r="J17" s="46" t="e">
        <v>#REF!</v>
      </c>
      <c r="K17" s="83">
        <v>0.62388732823394022</v>
      </c>
      <c r="L17" s="42"/>
      <c r="M17" s="72">
        <v>0.36</v>
      </c>
      <c r="N17" s="42"/>
      <c r="O17" s="46">
        <v>0</v>
      </c>
      <c r="P17" s="46">
        <v>0</v>
      </c>
      <c r="Q17" s="46">
        <v>0</v>
      </c>
      <c r="R17" s="42"/>
      <c r="S17" s="46">
        <v>1415</v>
      </c>
      <c r="T17" s="42"/>
    </row>
    <row r="18" spans="1:20" x14ac:dyDescent="0.45">
      <c r="A18" s="42"/>
      <c r="B18" s="18" t="s">
        <v>32</v>
      </c>
      <c r="C18" s="19">
        <v>12603.516552456325</v>
      </c>
      <c r="D18" s="32">
        <v>5.5</v>
      </c>
      <c r="E18" s="19">
        <v>8</v>
      </c>
      <c r="F18" s="33">
        <v>0.6875</v>
      </c>
      <c r="G18" s="19">
        <v>2291.5484640829682</v>
      </c>
      <c r="H18" s="19">
        <v>1920</v>
      </c>
      <c r="I18" s="19" t="e">
        <v>#REF!</v>
      </c>
      <c r="J18" s="19" t="e">
        <v>#REF!</v>
      </c>
      <c r="K18" s="82">
        <v>0.5967574125216063</v>
      </c>
      <c r="L18" s="42"/>
      <c r="M18" s="69">
        <v>0.4</v>
      </c>
      <c r="N18" s="42"/>
      <c r="O18" s="19">
        <v>1952</v>
      </c>
      <c r="P18" s="19">
        <v>2712</v>
      </c>
      <c r="Q18" s="19">
        <v>3752</v>
      </c>
      <c r="R18" s="42"/>
      <c r="S18" s="19">
        <v>2102</v>
      </c>
      <c r="T18" s="42"/>
    </row>
    <row r="19" spans="1:20" x14ac:dyDescent="0.45">
      <c r="A19" s="42"/>
      <c r="B19" s="45" t="s">
        <v>33</v>
      </c>
      <c r="C19" s="46">
        <v>5395.2913496195433</v>
      </c>
      <c r="D19" s="74">
        <v>9.2100000000000009</v>
      </c>
      <c r="E19" s="46">
        <v>13</v>
      </c>
      <c r="F19" s="56">
        <v>0.70846153846153848</v>
      </c>
      <c r="G19" s="46">
        <v>585.80796412807194</v>
      </c>
      <c r="H19" s="46">
        <v>1920</v>
      </c>
      <c r="I19" s="46" t="e">
        <v>#REF!</v>
      </c>
      <c r="J19" s="46" t="e">
        <v>#REF!</v>
      </c>
      <c r="K19" s="83">
        <v>0.2341706314939038</v>
      </c>
      <c r="L19" s="42"/>
      <c r="M19" s="72">
        <v>0.59</v>
      </c>
      <c r="N19" s="42"/>
      <c r="O19" s="46">
        <v>2778</v>
      </c>
      <c r="P19" s="46">
        <v>4584</v>
      </c>
      <c r="Q19" s="46">
        <v>5467</v>
      </c>
      <c r="R19" s="42"/>
      <c r="S19" s="46">
        <v>1236</v>
      </c>
      <c r="T19" s="42"/>
    </row>
    <row r="20" spans="1:20" x14ac:dyDescent="0.45">
      <c r="A20" s="42"/>
      <c r="B20" s="42"/>
      <c r="C20" s="44"/>
      <c r="D20" s="73"/>
      <c r="E20" s="44"/>
      <c r="F20" s="57"/>
      <c r="G20" s="44"/>
      <c r="H20" s="44"/>
      <c r="I20" s="44"/>
      <c r="J20" s="44"/>
      <c r="K20" s="84"/>
      <c r="L20" s="42"/>
      <c r="M20" s="71"/>
      <c r="N20" s="42"/>
      <c r="O20" s="44"/>
      <c r="P20" s="44"/>
      <c r="Q20" s="44"/>
      <c r="R20" s="42"/>
      <c r="S20" s="44"/>
      <c r="T20" s="42"/>
    </row>
    <row r="21" spans="1:20" s="26" customFormat="1" x14ac:dyDescent="0.45">
      <c r="A21" s="43"/>
      <c r="B21" s="28" t="s">
        <v>34</v>
      </c>
      <c r="C21" s="29">
        <v>267876.60757644475</v>
      </c>
      <c r="D21" s="39">
        <v>154.74</v>
      </c>
      <c r="E21" s="29">
        <v>272</v>
      </c>
      <c r="F21" s="58">
        <v>0.56889705882352948</v>
      </c>
      <c r="G21" s="29">
        <v>1731.1400256975878</v>
      </c>
      <c r="H21" s="29"/>
      <c r="I21" s="29"/>
      <c r="J21" s="29" t="e">
        <v>#REF!</v>
      </c>
      <c r="K21" s="85">
        <v>0.47780502207556497</v>
      </c>
      <c r="L21" s="43"/>
      <c r="M21" s="70">
        <v>0</v>
      </c>
      <c r="N21" s="43"/>
      <c r="O21" s="29">
        <v>0</v>
      </c>
      <c r="P21" s="29">
        <v>0</v>
      </c>
      <c r="Q21" s="29">
        <v>0</v>
      </c>
      <c r="R21" s="43"/>
      <c r="S21" s="29">
        <v>0</v>
      </c>
      <c r="T21" s="43"/>
    </row>
    <row r="22" spans="1:20" x14ac:dyDescent="0.45">
      <c r="A22" s="42"/>
      <c r="B22" s="42"/>
      <c r="C22" s="44"/>
      <c r="D22" s="73"/>
      <c r="E22" s="44"/>
      <c r="F22" s="42"/>
      <c r="G22" s="44"/>
      <c r="H22" s="44"/>
      <c r="I22" s="44"/>
      <c r="J22" s="44"/>
      <c r="K22" s="73"/>
      <c r="L22" s="42"/>
      <c r="M22" s="71"/>
      <c r="N22" s="42"/>
      <c r="O22" s="44"/>
      <c r="P22" s="44"/>
      <c r="Q22" s="42"/>
      <c r="R22" s="42"/>
      <c r="S22" s="44"/>
      <c r="T22" s="42"/>
    </row>
    <row r="23" spans="1:20" x14ac:dyDescent="0.45">
      <c r="B23" s="18" t="s">
        <v>35</v>
      </c>
      <c r="C23" s="19">
        <v>48</v>
      </c>
    </row>
    <row r="24" spans="1:20" x14ac:dyDescent="0.45">
      <c r="B24" s="18" t="s">
        <v>36</v>
      </c>
      <c r="C24" s="19">
        <v>5</v>
      </c>
    </row>
    <row r="25" spans="1:20" x14ac:dyDescent="0.45">
      <c r="B25" s="18" t="s">
        <v>37</v>
      </c>
      <c r="C25" s="19">
        <v>8</v>
      </c>
    </row>
    <row r="26" spans="1:20" x14ac:dyDescent="0.45">
      <c r="B26" s="18" t="s">
        <v>38</v>
      </c>
      <c r="C26" s="19">
        <v>1920</v>
      </c>
    </row>
  </sheetData>
  <mergeCells count="1">
    <mergeCell ref="O2:Q2"/>
  </mergeCells>
  <conditionalFormatting sqref="F4:F5">
    <cfRule type="dataBar" priority="103">
      <dataBar>
        <cfvo type="min"/>
        <cfvo type="max"/>
        <color rgb="FFFFB628"/>
      </dataBar>
      <extLst>
        <ext xmlns:x14="http://schemas.microsoft.com/office/spreadsheetml/2009/9/main" uri="{B025F937-C7B1-47D3-B67F-A62EFF666E3E}">
          <x14:id>{3E2E71CF-79F2-4106-AE77-0C9A4FFBE64F}</x14:id>
        </ext>
      </extLst>
    </cfRule>
  </conditionalFormatting>
  <conditionalFormatting sqref="F6:F19">
    <cfRule type="dataBar" priority="1">
      <dataBar>
        <cfvo type="min"/>
        <cfvo type="max"/>
        <color rgb="FFFFB628"/>
      </dataBar>
      <extLst>
        <ext xmlns:x14="http://schemas.microsoft.com/office/spreadsheetml/2009/9/main" uri="{B025F937-C7B1-47D3-B67F-A62EFF666E3E}">
          <x14:id>{DA9AC5AC-F091-44CB-84EA-6BA41FBF9CDF}</x14:id>
        </ext>
      </extLst>
    </cfRule>
  </conditionalFormatting>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3E2E71CF-79F2-4106-AE77-0C9A4FFBE64F}">
            <x14:dataBar minLength="0" maxLength="100" gradient="0">
              <x14:cfvo type="autoMin"/>
              <x14:cfvo type="autoMax"/>
              <x14:negativeFillColor rgb="FFFF0000"/>
              <x14:axisColor rgb="FF000000"/>
            </x14:dataBar>
          </x14:cfRule>
          <xm:sqref>F4:F5</xm:sqref>
        </x14:conditionalFormatting>
        <x14:conditionalFormatting xmlns:xm="http://schemas.microsoft.com/office/excel/2006/main">
          <x14:cfRule type="dataBar" id="{DA9AC5AC-F091-44CB-84EA-6BA41FBF9CDF}">
            <x14:dataBar minLength="0" maxLength="100" gradient="0">
              <x14:cfvo type="autoMin"/>
              <x14:cfvo type="autoMax"/>
              <x14:negativeFillColor rgb="FFFF0000"/>
              <x14:axisColor rgb="FF000000"/>
            </x14:dataBar>
          </x14:cfRule>
          <xm:sqref>F6:F19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X24"/>
  <sheetViews>
    <sheetView workbookViewId="0">
      <selection activeCell="S10" sqref="S10"/>
    </sheetView>
  </sheetViews>
  <sheetFormatPr defaultColWidth="9.140625" defaultRowHeight="21" x14ac:dyDescent="0.45"/>
  <cols>
    <col min="1" max="1" width="9.140625" style="18"/>
    <col min="2" max="2" width="31.140625" style="18" bestFit="1" customWidth="1"/>
    <col min="3" max="3" width="14.85546875" style="19" customWidth="1"/>
    <col min="4" max="4" width="13.140625" style="18" customWidth="1"/>
    <col min="5" max="5" width="14.140625" style="18" customWidth="1"/>
    <col min="6" max="6" width="2.140625" style="18" customWidth="1"/>
    <col min="7" max="7" width="15" style="18" bestFit="1" customWidth="1"/>
    <col min="8" max="8" width="12.42578125" style="18" bestFit="1" customWidth="1"/>
    <col min="9" max="11" width="14.140625" style="18" customWidth="1"/>
    <col min="12" max="12" width="2.140625" style="18" customWidth="1"/>
    <col min="13" max="13" width="15.85546875" style="19" customWidth="1"/>
    <col min="14" max="14" width="14.42578125" style="19" customWidth="1"/>
    <col min="15" max="15" width="2.140625" style="18" customWidth="1"/>
    <col min="16" max="17" width="14.42578125" style="19" customWidth="1"/>
    <col min="18" max="18" width="2.140625" style="18" customWidth="1"/>
    <col min="19" max="19" width="15.85546875" style="19" customWidth="1"/>
    <col min="20" max="20" width="14.42578125" style="18" customWidth="1"/>
    <col min="21" max="16384" width="9.140625" style="18"/>
  </cols>
  <sheetData>
    <row r="1" spans="1:21" x14ac:dyDescent="0.45">
      <c r="A1" s="42"/>
      <c r="B1" s="42"/>
      <c r="C1" s="44"/>
      <c r="D1" s="42"/>
      <c r="E1" s="42"/>
      <c r="F1" s="42"/>
      <c r="G1" s="42"/>
      <c r="H1" s="42"/>
      <c r="I1" s="42"/>
      <c r="J1" s="42"/>
      <c r="K1" s="42"/>
      <c r="L1" s="42"/>
      <c r="M1" s="44"/>
      <c r="N1" s="44"/>
      <c r="O1" s="42"/>
      <c r="P1" s="44"/>
      <c r="Q1" s="44"/>
      <c r="R1" s="42"/>
      <c r="S1" s="44"/>
      <c r="T1" s="42"/>
    </row>
    <row r="2" spans="1:21" s="17" customFormat="1" x14ac:dyDescent="0.45">
      <c r="A2" s="40"/>
      <c r="B2" s="40"/>
      <c r="C2" s="237" t="s">
        <v>39</v>
      </c>
      <c r="D2" s="237"/>
      <c r="E2" s="237"/>
      <c r="F2" s="40"/>
      <c r="G2" s="241" t="s">
        <v>40</v>
      </c>
      <c r="H2" s="241"/>
      <c r="I2" s="241"/>
      <c r="J2" s="241"/>
      <c r="K2" s="241"/>
      <c r="L2" s="40"/>
      <c r="M2" s="59"/>
      <c r="N2" s="59"/>
      <c r="O2" s="40"/>
      <c r="P2" s="59"/>
      <c r="Q2" s="59"/>
      <c r="R2" s="40"/>
      <c r="S2" s="59"/>
      <c r="T2" s="40"/>
    </row>
    <row r="3" spans="1:21" s="23" customFormat="1" ht="65.25" x14ac:dyDescent="0.45">
      <c r="A3" s="41"/>
      <c r="B3" s="20" t="s">
        <v>3</v>
      </c>
      <c r="C3" s="21" t="s">
        <v>41</v>
      </c>
      <c r="D3" s="22" t="s">
        <v>42</v>
      </c>
      <c r="E3" s="22" t="s">
        <v>43</v>
      </c>
      <c r="F3" s="41"/>
      <c r="G3" s="49" t="s">
        <v>44</v>
      </c>
      <c r="H3" s="49" t="s">
        <v>4</v>
      </c>
      <c r="I3" s="49" t="s">
        <v>45</v>
      </c>
      <c r="J3" s="49" t="s">
        <v>1009</v>
      </c>
      <c r="K3" s="49" t="s">
        <v>46</v>
      </c>
      <c r="L3" s="41"/>
      <c r="M3" s="50" t="s">
        <v>47</v>
      </c>
      <c r="N3" s="50" t="s">
        <v>48</v>
      </c>
      <c r="O3" s="41"/>
      <c r="P3" s="50" t="s">
        <v>1010</v>
      </c>
      <c r="Q3" s="50" t="s">
        <v>1011</v>
      </c>
      <c r="R3" s="41"/>
      <c r="S3" s="50" t="s">
        <v>49</v>
      </c>
      <c r="T3" s="50" t="s">
        <v>50</v>
      </c>
      <c r="U3" s="41"/>
    </row>
    <row r="4" spans="1:21" x14ac:dyDescent="0.45">
      <c r="A4" s="42"/>
      <c r="B4" s="18" t="s">
        <v>155</v>
      </c>
      <c r="C4" s="19">
        <v>23561</v>
      </c>
      <c r="D4" s="24">
        <v>0.01</v>
      </c>
      <c r="E4" s="19">
        <v>26549.124534939339</v>
      </c>
      <c r="F4" s="42"/>
      <c r="G4" s="19">
        <v>19</v>
      </c>
      <c r="H4" s="19">
        <v>27441</v>
      </c>
      <c r="I4" s="19">
        <v>30615.05510084295</v>
      </c>
      <c r="J4" s="19">
        <v>37984.761646549508</v>
      </c>
      <c r="K4" s="19">
        <v>46933.422326069769</v>
      </c>
      <c r="L4" s="42"/>
      <c r="M4" s="19">
        <v>4065.9305659036108</v>
      </c>
      <c r="N4" s="19">
        <v>26</v>
      </c>
      <c r="O4" s="42"/>
      <c r="P4" s="19">
        <v>11435.637111610169</v>
      </c>
      <c r="Q4" s="19">
        <v>32</v>
      </c>
      <c r="R4" s="42"/>
      <c r="S4" s="19">
        <v>20384.29779113043</v>
      </c>
      <c r="T4" s="19">
        <v>39</v>
      </c>
      <c r="U4" s="42"/>
    </row>
    <row r="5" spans="1:21" x14ac:dyDescent="0.45">
      <c r="A5" s="42"/>
      <c r="B5" s="45" t="s">
        <v>156</v>
      </c>
      <c r="C5" s="46"/>
      <c r="D5" s="47"/>
      <c r="E5" s="46">
        <v>0</v>
      </c>
      <c r="F5" s="45"/>
      <c r="G5" s="46">
        <v>7</v>
      </c>
      <c r="H5" s="46">
        <v>1273</v>
      </c>
      <c r="I5" s="46">
        <v>1420.2458053049479</v>
      </c>
      <c r="J5" s="46">
        <v>1762.1297174322192</v>
      </c>
      <c r="K5" s="46">
        <v>2177.2620028820675</v>
      </c>
      <c r="L5" s="45"/>
      <c r="M5" s="46">
        <v>1420.2458053049479</v>
      </c>
      <c r="N5" s="46">
        <v>2</v>
      </c>
      <c r="O5" s="45"/>
      <c r="P5" s="46">
        <v>1762.1297174322192</v>
      </c>
      <c r="Q5" s="46">
        <v>3</v>
      </c>
      <c r="R5" s="45"/>
      <c r="S5" s="46">
        <v>2177.2620028820675</v>
      </c>
      <c r="T5" s="46">
        <v>3</v>
      </c>
      <c r="U5" s="42"/>
    </row>
    <row r="6" spans="1:21" x14ac:dyDescent="0.45">
      <c r="A6" s="42"/>
      <c r="B6" s="18" t="s">
        <v>20</v>
      </c>
      <c r="C6" s="19">
        <v>1800</v>
      </c>
      <c r="D6" s="24">
        <v>0.01</v>
      </c>
      <c r="E6" s="19">
        <v>2028.2850542375456</v>
      </c>
      <c r="F6" s="42"/>
      <c r="G6" s="19">
        <v>2</v>
      </c>
      <c r="H6" s="19">
        <v>1968</v>
      </c>
      <c r="I6" s="19">
        <v>2195.6353062373428</v>
      </c>
      <c r="J6" s="19">
        <v>2724.1722575857088</v>
      </c>
      <c r="K6" s="19">
        <v>3365.9478567729057</v>
      </c>
      <c r="L6" s="42"/>
      <c r="M6" s="19">
        <v>167.35025199979714</v>
      </c>
      <c r="N6" s="19">
        <v>1</v>
      </c>
      <c r="O6" s="42"/>
      <c r="P6" s="19">
        <v>695.88720334816321</v>
      </c>
      <c r="Q6" s="19">
        <v>2</v>
      </c>
      <c r="R6" s="42"/>
      <c r="S6" s="19">
        <v>1337.66280253536</v>
      </c>
      <c r="T6" s="19">
        <v>2</v>
      </c>
      <c r="U6" s="42"/>
    </row>
    <row r="7" spans="1:21" x14ac:dyDescent="0.45">
      <c r="A7" s="42"/>
      <c r="B7" s="45" t="s">
        <v>21</v>
      </c>
      <c r="C7" s="46">
        <v>24598</v>
      </c>
      <c r="D7" s="47">
        <v>1.6E-2</v>
      </c>
      <c r="E7" s="46">
        <v>29759.408339310397</v>
      </c>
      <c r="F7" s="45"/>
      <c r="G7" s="46">
        <v>33</v>
      </c>
      <c r="H7" s="46">
        <v>36033</v>
      </c>
      <c r="I7" s="46">
        <v>40200.877535391352</v>
      </c>
      <c r="J7" s="46">
        <v>49878.099063813941</v>
      </c>
      <c r="K7" s="46">
        <v>61628.658091005134</v>
      </c>
      <c r="L7" s="45"/>
      <c r="M7" s="46">
        <v>10441.469196080954</v>
      </c>
      <c r="N7" s="46">
        <v>26</v>
      </c>
      <c r="O7" s="45"/>
      <c r="P7" s="46">
        <v>20118.690724503544</v>
      </c>
      <c r="Q7" s="46">
        <v>32</v>
      </c>
      <c r="R7" s="45"/>
      <c r="S7" s="46">
        <v>31869.249751694737</v>
      </c>
      <c r="T7" s="46">
        <v>40</v>
      </c>
      <c r="U7" s="42"/>
    </row>
    <row r="8" spans="1:21" x14ac:dyDescent="0.45">
      <c r="A8" s="42"/>
      <c r="B8" s="18" t="s">
        <v>22</v>
      </c>
      <c r="D8" s="24"/>
      <c r="E8" s="19">
        <v>0</v>
      </c>
      <c r="F8" s="42"/>
      <c r="G8" s="19">
        <v>6</v>
      </c>
      <c r="H8" s="19">
        <v>33194</v>
      </c>
      <c r="I8" s="19">
        <v>37033.495099208521</v>
      </c>
      <c r="J8" s="19">
        <v>45948.259104827244</v>
      </c>
      <c r="K8" s="19">
        <v>56773.004653312921</v>
      </c>
      <c r="L8" s="42"/>
      <c r="M8" s="19">
        <v>37033.495099208521</v>
      </c>
      <c r="N8" s="19">
        <v>9</v>
      </c>
      <c r="O8" s="42"/>
      <c r="P8" s="19">
        <v>45948.259104827244</v>
      </c>
      <c r="Q8" s="19">
        <v>12</v>
      </c>
      <c r="R8" s="42"/>
      <c r="S8" s="19">
        <v>56773.004653312921</v>
      </c>
      <c r="T8" s="19">
        <v>15</v>
      </c>
      <c r="U8" s="42"/>
    </row>
    <row r="9" spans="1:21" x14ac:dyDescent="0.45">
      <c r="A9" s="42"/>
      <c r="B9" s="45" t="s">
        <v>23</v>
      </c>
      <c r="C9" s="46">
        <v>27875</v>
      </c>
      <c r="D9" s="47">
        <v>0.01</v>
      </c>
      <c r="E9" s="46">
        <v>31410.247714928657</v>
      </c>
      <c r="F9" s="45"/>
      <c r="G9" s="46">
        <v>25</v>
      </c>
      <c r="H9" s="46">
        <v>26077</v>
      </c>
      <c r="I9" s="46">
        <v>29093.283475991459</v>
      </c>
      <c r="J9" s="46">
        <v>36096.666646881364</v>
      </c>
      <c r="K9" s="46">
        <v>44600.519441599114</v>
      </c>
      <c r="L9" s="45"/>
      <c r="M9" s="46">
        <v>-2316.9642389371984</v>
      </c>
      <c r="N9" s="46">
        <v>23</v>
      </c>
      <c r="O9" s="45"/>
      <c r="P9" s="46">
        <v>4686.4189319527068</v>
      </c>
      <c r="Q9" s="46">
        <v>28</v>
      </c>
      <c r="R9" s="45"/>
      <c r="S9" s="46">
        <v>13190.271726670457</v>
      </c>
      <c r="T9" s="46">
        <v>34</v>
      </c>
      <c r="U9" s="42"/>
    </row>
    <row r="10" spans="1:21" x14ac:dyDescent="0.45">
      <c r="A10" s="42"/>
      <c r="B10" s="18" t="s">
        <v>24</v>
      </c>
      <c r="C10" s="19">
        <v>30852</v>
      </c>
      <c r="D10" s="24">
        <v>5.0000000000000001E-3</v>
      </c>
      <c r="E10" s="19">
        <v>32754.883851643481</v>
      </c>
      <c r="F10" s="42"/>
      <c r="G10" s="19">
        <v>46</v>
      </c>
      <c r="H10" s="19">
        <v>32210</v>
      </c>
      <c r="I10" s="19">
        <v>35935.677446089845</v>
      </c>
      <c r="J10" s="19">
        <v>44586.172976034388</v>
      </c>
      <c r="K10" s="19">
        <v>55090.030724926466</v>
      </c>
      <c r="L10" s="42"/>
      <c r="M10" s="19">
        <v>3180.7935944463643</v>
      </c>
      <c r="N10" s="19">
        <v>25</v>
      </c>
      <c r="O10" s="42"/>
      <c r="P10" s="19">
        <v>11831.289124390907</v>
      </c>
      <c r="Q10" s="19">
        <v>31</v>
      </c>
      <c r="R10" s="42"/>
      <c r="S10" s="19">
        <v>22335.146873282985</v>
      </c>
      <c r="T10" s="19">
        <v>39</v>
      </c>
      <c r="U10" s="42"/>
    </row>
    <row r="11" spans="1:21" x14ac:dyDescent="0.45">
      <c r="A11" s="42"/>
      <c r="B11" s="45" t="s">
        <v>159</v>
      </c>
      <c r="C11" s="46">
        <v>30087</v>
      </c>
      <c r="D11" s="47">
        <v>0.01</v>
      </c>
      <c r="E11" s="46">
        <v>33902.784681580575</v>
      </c>
      <c r="F11" s="45"/>
      <c r="G11" s="46">
        <v>23</v>
      </c>
      <c r="H11" s="46">
        <v>19790</v>
      </c>
      <c r="I11" s="46">
        <v>22079.076580506615</v>
      </c>
      <c r="J11" s="46">
        <v>27393.988301636775</v>
      </c>
      <c r="K11" s="46">
        <v>33847.615897121847</v>
      </c>
      <c r="L11" s="45"/>
      <c r="M11" s="46">
        <v>-11823.70810107396</v>
      </c>
      <c r="N11" s="46">
        <v>14</v>
      </c>
      <c r="O11" s="45"/>
      <c r="P11" s="46">
        <v>-6508.7963799438003</v>
      </c>
      <c r="Q11" s="46">
        <v>17</v>
      </c>
      <c r="R11" s="45"/>
      <c r="S11" s="46">
        <v>-55.168784458728624</v>
      </c>
      <c r="T11" s="46">
        <v>22</v>
      </c>
      <c r="U11" s="42"/>
    </row>
    <row r="12" spans="1:21" x14ac:dyDescent="0.45">
      <c r="A12" s="42"/>
      <c r="B12" s="18" t="s">
        <v>26</v>
      </c>
      <c r="C12" s="19">
        <v>28055</v>
      </c>
      <c r="D12" s="24">
        <v>1.9E-2</v>
      </c>
      <c r="E12" s="19">
        <v>35164.178918440703</v>
      </c>
      <c r="F12" s="42"/>
      <c r="G12" s="19">
        <v>18</v>
      </c>
      <c r="H12" s="19">
        <v>23051</v>
      </c>
      <c r="I12" s="19">
        <v>25717.271058982213</v>
      </c>
      <c r="J12" s="19">
        <v>31907.974954069192</v>
      </c>
      <c r="K12" s="19">
        <v>39425.032543939145</v>
      </c>
      <c r="L12" s="42"/>
      <c r="M12" s="19">
        <v>-9446.9078594584898</v>
      </c>
      <c r="N12" s="19">
        <v>14</v>
      </c>
      <c r="O12" s="42"/>
      <c r="P12" s="19">
        <v>-3256.2039643715107</v>
      </c>
      <c r="Q12" s="19">
        <v>18</v>
      </c>
      <c r="R12" s="42"/>
      <c r="S12" s="19">
        <v>4260.8536254984429</v>
      </c>
      <c r="T12" s="19">
        <v>23</v>
      </c>
      <c r="U12" s="42"/>
    </row>
    <row r="13" spans="1:21" x14ac:dyDescent="0.45">
      <c r="A13" s="42"/>
      <c r="B13" s="45" t="s">
        <v>27</v>
      </c>
      <c r="C13" s="46">
        <v>9102</v>
      </c>
      <c r="D13" s="47">
        <v>1.7000000000000001E-2</v>
      </c>
      <c r="E13" s="46">
        <v>11142.644280185354</v>
      </c>
      <c r="F13" s="45"/>
      <c r="G13" s="46">
        <v>5</v>
      </c>
      <c r="H13" s="46">
        <v>8244</v>
      </c>
      <c r="I13" s="46">
        <v>9197.5698499088703</v>
      </c>
      <c r="J13" s="46">
        <v>11411.624030252329</v>
      </c>
      <c r="K13" s="46">
        <v>14100.037668310892</v>
      </c>
      <c r="L13" s="45"/>
      <c r="M13" s="46">
        <v>-1945.0744302764833</v>
      </c>
      <c r="N13" s="46">
        <v>6</v>
      </c>
      <c r="O13" s="45"/>
      <c r="P13" s="46">
        <v>268.97975006697561</v>
      </c>
      <c r="Q13" s="46">
        <v>8</v>
      </c>
      <c r="R13" s="45"/>
      <c r="S13" s="46">
        <v>2957.393388125538</v>
      </c>
      <c r="T13" s="46">
        <v>10</v>
      </c>
      <c r="U13" s="42"/>
    </row>
    <row r="14" spans="1:21" x14ac:dyDescent="0.45">
      <c r="A14" s="42"/>
      <c r="B14" s="18" t="s">
        <v>28</v>
      </c>
      <c r="C14" s="19">
        <v>24237</v>
      </c>
      <c r="D14" s="24">
        <v>5.0000000000000001E-3</v>
      </c>
      <c r="E14" s="19">
        <v>25731.885126159828</v>
      </c>
      <c r="F14" s="42"/>
      <c r="G14" s="19">
        <v>38</v>
      </c>
      <c r="H14" s="19">
        <v>24622</v>
      </c>
      <c r="I14" s="19">
        <v>27469.986031593424</v>
      </c>
      <c r="J14" s="19">
        <v>34082.606364977299</v>
      </c>
      <c r="K14" s="19">
        <v>42111.975675539878</v>
      </c>
      <c r="L14" s="42"/>
      <c r="M14" s="19">
        <v>1738.1009054335955</v>
      </c>
      <c r="N14" s="19">
        <v>21</v>
      </c>
      <c r="O14" s="42"/>
      <c r="P14" s="19">
        <v>8350.7212388174703</v>
      </c>
      <c r="Q14" s="19">
        <v>26</v>
      </c>
      <c r="R14" s="42"/>
      <c r="S14" s="19">
        <v>16380.090549380049</v>
      </c>
      <c r="T14" s="19">
        <v>33</v>
      </c>
      <c r="U14" s="42"/>
    </row>
    <row r="15" spans="1:21" x14ac:dyDescent="0.45">
      <c r="A15" s="42"/>
      <c r="B15" s="45" t="s">
        <v>162</v>
      </c>
      <c r="C15" s="46">
        <v>4629</v>
      </c>
      <c r="D15" s="47">
        <v>1.9E-2</v>
      </c>
      <c r="E15" s="46">
        <v>5801.9955164306539</v>
      </c>
      <c r="F15" s="45"/>
      <c r="G15" s="46">
        <v>5</v>
      </c>
      <c r="H15" s="46">
        <v>5345</v>
      </c>
      <c r="I15" s="46">
        <v>5963.247312926117</v>
      </c>
      <c r="J15" s="46">
        <v>7398.7300390221608</v>
      </c>
      <c r="K15" s="46">
        <v>9141.763869131697</v>
      </c>
      <c r="L15" s="45"/>
      <c r="M15" s="46">
        <v>161.25179649546317</v>
      </c>
      <c r="N15" s="46">
        <v>5</v>
      </c>
      <c r="O15" s="45"/>
      <c r="P15" s="46">
        <v>1596.7345225915069</v>
      </c>
      <c r="Q15" s="46">
        <v>6</v>
      </c>
      <c r="R15" s="45"/>
      <c r="S15" s="46">
        <v>3339.7683527010431</v>
      </c>
      <c r="T15" s="46">
        <v>7</v>
      </c>
      <c r="U15" s="42"/>
    </row>
    <row r="16" spans="1:21" x14ac:dyDescent="0.45">
      <c r="A16" s="42"/>
      <c r="B16" s="18" t="s">
        <v>30</v>
      </c>
      <c r="C16" s="19">
        <v>14607</v>
      </c>
      <c r="D16" s="24">
        <v>0.02</v>
      </c>
      <c r="E16" s="19">
        <v>18525.207893175098</v>
      </c>
      <c r="F16" s="42"/>
      <c r="G16" s="19">
        <v>21</v>
      </c>
      <c r="H16" s="19">
        <v>15078</v>
      </c>
      <c r="I16" s="19">
        <v>16822.047331019643</v>
      </c>
      <c r="J16" s="19">
        <v>20871.478302783187</v>
      </c>
      <c r="K16" s="19">
        <v>25788.496841677777</v>
      </c>
      <c r="L16" s="42"/>
      <c r="M16" s="19">
        <v>-1703.1605621554554</v>
      </c>
      <c r="N16" s="19">
        <v>10</v>
      </c>
      <c r="O16" s="42"/>
      <c r="P16" s="19">
        <v>2346.2704096080888</v>
      </c>
      <c r="Q16" s="19">
        <v>12</v>
      </c>
      <c r="R16" s="42"/>
      <c r="S16" s="19">
        <v>7263.288948502679</v>
      </c>
      <c r="T16" s="19">
        <v>15</v>
      </c>
      <c r="U16" s="42"/>
    </row>
    <row r="17" spans="1:24" x14ac:dyDescent="0.45">
      <c r="A17" s="42"/>
      <c r="B17" s="45" t="s">
        <v>31</v>
      </c>
      <c r="C17" s="46">
        <v>13544</v>
      </c>
      <c r="D17" s="47">
        <v>1.7999999999999999E-2</v>
      </c>
      <c r="E17" s="46">
        <v>16777.230879658953</v>
      </c>
      <c r="F17" s="45"/>
      <c r="G17" s="46">
        <v>9</v>
      </c>
      <c r="H17" s="46">
        <v>13206</v>
      </c>
      <c r="I17" s="46">
        <v>14733.51618606217</v>
      </c>
      <c r="J17" s="46">
        <v>18280.192496787025</v>
      </c>
      <c r="K17" s="46">
        <v>22586.741563284038</v>
      </c>
      <c r="L17" s="45"/>
      <c r="M17" s="46">
        <v>-2043.714693596783</v>
      </c>
      <c r="N17" s="46">
        <v>9</v>
      </c>
      <c r="O17" s="45"/>
      <c r="P17" s="46">
        <v>1502.9616171280722</v>
      </c>
      <c r="Q17" s="46">
        <v>12</v>
      </c>
      <c r="R17" s="45"/>
      <c r="S17" s="46">
        <v>5809.5106836250852</v>
      </c>
      <c r="T17" s="46">
        <v>14</v>
      </c>
      <c r="U17" s="42"/>
    </row>
    <row r="18" spans="1:24" x14ac:dyDescent="0.45">
      <c r="A18" s="42"/>
      <c r="B18" s="18" t="s">
        <v>32</v>
      </c>
      <c r="C18" s="19">
        <v>15406</v>
      </c>
      <c r="D18" s="24">
        <v>0.01</v>
      </c>
      <c r="E18" s="19">
        <v>17359.866414213127</v>
      </c>
      <c r="F18" s="42"/>
      <c r="G18" s="19">
        <v>10</v>
      </c>
      <c r="H18" s="19">
        <v>15463</v>
      </c>
      <c r="I18" s="19">
        <v>17251.579644485792</v>
      </c>
      <c r="J18" s="19">
        <v>21404.408343012099</v>
      </c>
      <c r="K18" s="19">
        <v>26446.977494552561</v>
      </c>
      <c r="L18" s="42"/>
      <c r="M18" s="19">
        <v>-108.28676972733592</v>
      </c>
      <c r="N18" s="19">
        <v>10</v>
      </c>
      <c r="O18" s="42"/>
      <c r="P18" s="19">
        <v>4044.5419287989716</v>
      </c>
      <c r="Q18" s="19">
        <v>12</v>
      </c>
      <c r="R18" s="42"/>
      <c r="S18" s="19">
        <v>9087.1110803394331</v>
      </c>
      <c r="T18" s="19">
        <v>15</v>
      </c>
      <c r="U18" s="42"/>
      <c r="X18" s="18">
        <v>0.10526315789473684</v>
      </c>
    </row>
    <row r="19" spans="1:24" x14ac:dyDescent="0.45">
      <c r="A19" s="42"/>
      <c r="B19" s="45" t="s">
        <v>164</v>
      </c>
      <c r="C19" s="46">
        <v>6529</v>
      </c>
      <c r="D19" s="47">
        <v>5.0000000000000001E-3</v>
      </c>
      <c r="E19" s="46">
        <v>6931.6944336633051</v>
      </c>
      <c r="F19" s="45"/>
      <c r="G19" s="46">
        <v>10</v>
      </c>
      <c r="H19" s="46">
        <v>5446</v>
      </c>
      <c r="I19" s="46">
        <v>6075.9298159393138</v>
      </c>
      <c r="J19" s="46">
        <v>7538.53765996533</v>
      </c>
      <c r="K19" s="46">
        <v>9314.5081443014442</v>
      </c>
      <c r="L19" s="45"/>
      <c r="M19" s="46">
        <v>-855.76461772399125</v>
      </c>
      <c r="N19" s="46">
        <v>4</v>
      </c>
      <c r="O19" s="45"/>
      <c r="P19" s="46">
        <v>606.84322630202496</v>
      </c>
      <c r="Q19" s="46">
        <v>5</v>
      </c>
      <c r="R19" s="45"/>
      <c r="S19" s="46">
        <v>2382.8137106381391</v>
      </c>
      <c r="T19" s="46">
        <v>6</v>
      </c>
      <c r="U19" s="42"/>
    </row>
    <row r="20" spans="1:24" x14ac:dyDescent="0.45">
      <c r="A20" s="42"/>
      <c r="B20" s="42"/>
      <c r="C20" s="44"/>
      <c r="D20" s="42"/>
      <c r="E20" s="42"/>
      <c r="F20" s="42"/>
      <c r="G20" s="42"/>
      <c r="H20" s="42"/>
      <c r="I20" s="42"/>
      <c r="J20" s="42"/>
      <c r="K20" s="42"/>
      <c r="L20" s="42"/>
      <c r="M20" s="44"/>
      <c r="N20" s="44"/>
      <c r="O20" s="42"/>
      <c r="P20" s="44"/>
      <c r="Q20" s="44"/>
      <c r="R20" s="42"/>
      <c r="S20" s="44"/>
      <c r="T20" s="44"/>
      <c r="U20" s="42"/>
    </row>
    <row r="21" spans="1:24" s="26" customFormat="1" x14ac:dyDescent="0.45">
      <c r="A21" s="43"/>
      <c r="B21" s="28" t="s">
        <v>34</v>
      </c>
      <c r="C21" s="29">
        <v>254882</v>
      </c>
      <c r="D21" s="30">
        <v>1.192325488195789E-2</v>
      </c>
      <c r="E21" s="29">
        <v>293839.43763856706</v>
      </c>
      <c r="F21" s="43"/>
      <c r="G21" s="29">
        <v>277</v>
      </c>
      <c r="H21" s="29">
        <v>288441</v>
      </c>
      <c r="I21" s="29">
        <v>321804.49358049064</v>
      </c>
      <c r="J21" s="29">
        <v>399269.80190562975</v>
      </c>
      <c r="K21" s="29">
        <v>493331.99479442759</v>
      </c>
      <c r="L21" s="43"/>
      <c r="M21" s="29">
        <v>27965.055941923554</v>
      </c>
      <c r="N21" s="29">
        <v>205</v>
      </c>
      <c r="O21" s="43"/>
      <c r="P21" s="29">
        <v>105430.36426706276</v>
      </c>
      <c r="Q21" s="29">
        <v>256</v>
      </c>
      <c r="R21" s="43"/>
      <c r="S21" s="29">
        <v>199492.5571558607</v>
      </c>
      <c r="T21" s="29">
        <v>317</v>
      </c>
      <c r="U21" s="43"/>
    </row>
    <row r="22" spans="1:24" ht="34.5" x14ac:dyDescent="0.45">
      <c r="A22" s="42"/>
      <c r="B22" s="42"/>
      <c r="C22" s="44"/>
      <c r="D22" s="42"/>
      <c r="E22" s="42"/>
      <c r="F22" s="42"/>
      <c r="G22" s="42"/>
      <c r="H22" s="42"/>
      <c r="I22" s="171" t="s">
        <v>1012</v>
      </c>
      <c r="J22" s="171" t="s">
        <v>1013</v>
      </c>
      <c r="K22" s="171" t="s">
        <v>1014</v>
      </c>
      <c r="L22" s="42"/>
      <c r="M22" s="242" t="s">
        <v>1015</v>
      </c>
      <c r="N22" s="242"/>
      <c r="O22" s="242"/>
      <c r="P22" s="242"/>
      <c r="Q22" s="242"/>
      <c r="R22" s="242"/>
      <c r="S22" s="242"/>
      <c r="T22" s="242"/>
      <c r="U22" s="42"/>
    </row>
    <row r="23" spans="1:24" x14ac:dyDescent="0.45">
      <c r="A23" s="42"/>
      <c r="B23" s="42"/>
      <c r="C23" s="44"/>
      <c r="D23" s="42"/>
      <c r="E23" s="42"/>
      <c r="F23" s="42"/>
      <c r="G23" s="42"/>
      <c r="H23" s="42"/>
      <c r="I23" s="42"/>
      <c r="J23" s="42"/>
      <c r="K23" s="42"/>
      <c r="L23" s="42"/>
      <c r="M23" s="44"/>
      <c r="N23" s="44"/>
      <c r="O23" s="42"/>
      <c r="P23" s="44"/>
      <c r="Q23" s="44"/>
      <c r="R23" s="42"/>
      <c r="S23" s="44"/>
      <c r="T23" s="42"/>
    </row>
    <row r="24" spans="1:24" x14ac:dyDescent="0.45">
      <c r="I24" s="18">
        <v>1.01</v>
      </c>
      <c r="J24" s="18">
        <v>1.03</v>
      </c>
      <c r="K24" s="18">
        <v>1.05</v>
      </c>
    </row>
  </sheetData>
  <mergeCells count="3">
    <mergeCell ref="C2:E2"/>
    <mergeCell ref="G2:K2"/>
    <mergeCell ref="M22:T22"/>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S22"/>
  <sheetViews>
    <sheetView workbookViewId="0">
      <selection activeCell="M4" sqref="M4"/>
    </sheetView>
  </sheetViews>
  <sheetFormatPr defaultColWidth="9.140625" defaultRowHeight="21" x14ac:dyDescent="0.45"/>
  <cols>
    <col min="1" max="1" width="18.85546875" style="18" customWidth="1"/>
    <col min="2" max="2" width="12.5703125" style="19" customWidth="1"/>
    <col min="3" max="3" width="14.7109375" style="19" customWidth="1"/>
    <col min="4" max="4" width="15" style="19" customWidth="1"/>
    <col min="5" max="7" width="13.28515625" style="24" hidden="1" customWidth="1"/>
    <col min="8" max="10" width="17.85546875" style="18" hidden="1" customWidth="1"/>
    <col min="11" max="12" width="14" style="18" bestFit="1" customWidth="1"/>
    <col min="13" max="13" width="15.28515625" style="19" customWidth="1"/>
    <col min="14" max="14" width="12" style="19" bestFit="1" customWidth="1"/>
    <col min="15" max="15" width="12" style="18" bestFit="1" customWidth="1"/>
    <col min="16" max="16" width="41.7109375" style="18" customWidth="1"/>
    <col min="17" max="17" width="25" style="18" customWidth="1"/>
    <col min="18" max="16384" width="9.140625" style="18"/>
  </cols>
  <sheetData>
    <row r="1" spans="1:17" s="26" customFormat="1" x14ac:dyDescent="0.45">
      <c r="A1" s="43"/>
      <c r="B1" s="114"/>
      <c r="C1" s="114"/>
      <c r="D1" s="114"/>
      <c r="E1" s="115"/>
      <c r="F1" s="115"/>
      <c r="G1" s="115"/>
      <c r="H1" s="111" t="s">
        <v>51</v>
      </c>
      <c r="I1" s="111" t="s">
        <v>52</v>
      </c>
      <c r="J1" s="111" t="s">
        <v>53</v>
      </c>
      <c r="K1" s="243" t="s">
        <v>54</v>
      </c>
      <c r="L1" s="244"/>
      <c r="M1" s="244"/>
      <c r="N1" s="244"/>
      <c r="O1" s="245"/>
      <c r="P1" s="43"/>
    </row>
    <row r="2" spans="1:17" s="88" customFormat="1" ht="65.25" x14ac:dyDescent="0.25">
      <c r="A2" s="55" t="s">
        <v>55</v>
      </c>
      <c r="B2" s="55" t="s">
        <v>56</v>
      </c>
      <c r="C2" s="55" t="s">
        <v>57</v>
      </c>
      <c r="D2" s="55" t="s">
        <v>58</v>
      </c>
      <c r="E2" s="110" t="s">
        <v>59</v>
      </c>
      <c r="F2" s="110" t="s">
        <v>60</v>
      </c>
      <c r="G2" s="110" t="s">
        <v>61</v>
      </c>
      <c r="H2" s="53" t="s">
        <v>62</v>
      </c>
      <c r="I2" s="53" t="s">
        <v>63</v>
      </c>
      <c r="J2" s="53" t="s">
        <v>64</v>
      </c>
      <c r="K2" s="49" t="s">
        <v>65</v>
      </c>
      <c r="L2" s="49" t="s">
        <v>66</v>
      </c>
      <c r="M2" s="53" t="s">
        <v>67</v>
      </c>
      <c r="N2" s="53" t="s">
        <v>68</v>
      </c>
      <c r="O2" s="49" t="s">
        <v>69</v>
      </c>
      <c r="P2" s="49" t="s">
        <v>70</v>
      </c>
      <c r="Q2" s="88" t="s">
        <v>71</v>
      </c>
    </row>
    <row r="3" spans="1:17" s="154" customFormat="1" ht="41.25" customHeight="1" x14ac:dyDescent="0.25">
      <c r="A3" s="149" t="s">
        <v>72</v>
      </c>
      <c r="B3" s="150">
        <v>7</v>
      </c>
      <c r="C3" s="150">
        <v>25675</v>
      </c>
      <c r="D3" s="150">
        <v>3667.8571428571427</v>
      </c>
      <c r="E3" s="150">
        <v>74099</v>
      </c>
      <c r="F3" s="150">
        <v>79112</v>
      </c>
      <c r="G3" s="150">
        <v>86920</v>
      </c>
      <c r="H3" s="151">
        <v>7.3001317699445956E-3</v>
      </c>
      <c r="I3" s="151">
        <v>1.7889932472342718E-2</v>
      </c>
      <c r="J3" s="151">
        <v>3.6999999999999998E-2</v>
      </c>
      <c r="K3" s="150">
        <v>27813.66699483258</v>
      </c>
      <c r="L3" s="150">
        <v>38289.242326764994</v>
      </c>
      <c r="M3" s="150">
        <v>8500</v>
      </c>
      <c r="N3" s="150">
        <v>3.2721961170391269</v>
      </c>
      <c r="O3" s="150">
        <v>4.5046167443252934</v>
      </c>
      <c r="P3" s="152" t="s">
        <v>73</v>
      </c>
      <c r="Q3" s="153" t="s">
        <v>74</v>
      </c>
    </row>
    <row r="4" spans="1:17" s="154" customFormat="1" ht="41.25" customHeight="1" x14ac:dyDescent="0.25">
      <c r="A4" s="155" t="s">
        <v>75</v>
      </c>
      <c r="B4" s="156">
        <v>1</v>
      </c>
      <c r="C4" s="156">
        <v>8412</v>
      </c>
      <c r="D4" s="156">
        <v>8412</v>
      </c>
      <c r="E4" s="156">
        <v>15293</v>
      </c>
      <c r="F4" s="156">
        <v>17941</v>
      </c>
      <c r="G4" s="156">
        <v>19765</v>
      </c>
      <c r="H4" s="157">
        <v>1.7902064731473377E-2</v>
      </c>
      <c r="I4" s="157">
        <v>2.8912010281011646E-2</v>
      </c>
      <c r="J4" s="157">
        <v>4.4999999999999998E-2</v>
      </c>
      <c r="K4" s="156">
        <v>10225.044629936736</v>
      </c>
      <c r="L4" s="156">
        <v>13651.439820519885</v>
      </c>
      <c r="M4" s="156">
        <v>8500</v>
      </c>
      <c r="N4" s="156">
        <v>1.2029464270513808</v>
      </c>
      <c r="O4" s="158">
        <v>1.6060517435905748</v>
      </c>
      <c r="P4" s="159" t="s">
        <v>76</v>
      </c>
      <c r="Q4" s="153" t="s">
        <v>77</v>
      </c>
    </row>
    <row r="5" spans="1:17" s="154" customFormat="1" ht="41.25" customHeight="1" x14ac:dyDescent="0.25">
      <c r="A5" s="149" t="s">
        <v>78</v>
      </c>
      <c r="B5" s="150">
        <v>4</v>
      </c>
      <c r="C5" s="150">
        <v>12626</v>
      </c>
      <c r="D5" s="150">
        <v>3156.5</v>
      </c>
      <c r="E5" s="150">
        <v>14400</v>
      </c>
      <c r="F5" s="150">
        <v>15823</v>
      </c>
      <c r="G5" s="150">
        <v>17377</v>
      </c>
      <c r="H5" s="151">
        <v>1.0525717597283935E-2</v>
      </c>
      <c r="I5" s="151">
        <v>2.1099431354556497E-2</v>
      </c>
      <c r="J5" s="151">
        <v>3.7499999999999999E-2</v>
      </c>
      <c r="K5" s="150">
        <v>14167.292558871122</v>
      </c>
      <c r="L5" s="150">
        <v>18929.317000394098</v>
      </c>
      <c r="M5" s="150">
        <v>3500</v>
      </c>
      <c r="N5" s="158">
        <v>4.0477978739631775</v>
      </c>
      <c r="O5" s="158">
        <v>5.4083762858268853</v>
      </c>
      <c r="P5" s="152" t="s">
        <v>79</v>
      </c>
      <c r="Q5" s="153" t="s">
        <v>80</v>
      </c>
    </row>
    <row r="6" spans="1:17" s="154" customFormat="1" ht="41.25" customHeight="1" x14ac:dyDescent="0.25">
      <c r="A6" s="155" t="s">
        <v>81</v>
      </c>
      <c r="B6" s="156">
        <v>8</v>
      </c>
      <c r="C6" s="156">
        <v>10417</v>
      </c>
      <c r="D6" s="156">
        <v>1302.125</v>
      </c>
      <c r="E6" s="156">
        <v>19013</v>
      </c>
      <c r="F6" s="156">
        <v>23438</v>
      </c>
      <c r="G6" s="156">
        <v>25764</v>
      </c>
      <c r="H6" s="157">
        <v>2.3520759751415987E-2</v>
      </c>
      <c r="I6" s="157">
        <v>3.4338084585901596E-2</v>
      </c>
      <c r="J6" s="157">
        <v>0.04</v>
      </c>
      <c r="K6" s="156">
        <v>13452.589106346451</v>
      </c>
      <c r="L6" s="156">
        <v>16036.492904634169</v>
      </c>
      <c r="M6" s="156">
        <v>3500</v>
      </c>
      <c r="N6" s="156">
        <v>3.8435968875275575</v>
      </c>
      <c r="O6" s="156">
        <v>4.5818551156097627</v>
      </c>
      <c r="P6" s="159" t="s">
        <v>73</v>
      </c>
      <c r="Q6" s="153" t="s">
        <v>77</v>
      </c>
    </row>
    <row r="7" spans="1:17" s="154" customFormat="1" ht="41.25" customHeight="1" x14ac:dyDescent="0.25">
      <c r="A7" s="149" t="s">
        <v>82</v>
      </c>
      <c r="B7" s="150">
        <v>1</v>
      </c>
      <c r="C7" s="150">
        <v>2652</v>
      </c>
      <c r="D7" s="150">
        <v>2652</v>
      </c>
      <c r="E7" s="150"/>
      <c r="F7" s="150"/>
      <c r="G7" s="150"/>
      <c r="H7" s="151">
        <v>0</v>
      </c>
      <c r="I7" s="151">
        <v>0</v>
      </c>
      <c r="J7" s="151">
        <v>0.04</v>
      </c>
      <c r="K7" s="150">
        <v>2652</v>
      </c>
      <c r="L7" s="150">
        <v>4082.6321573475875</v>
      </c>
      <c r="M7" s="150">
        <v>2000</v>
      </c>
      <c r="N7" s="150">
        <v>1.3260000000000001</v>
      </c>
      <c r="O7" s="158">
        <v>2.0413160786737938</v>
      </c>
      <c r="P7" s="152" t="s">
        <v>83</v>
      </c>
      <c r="Q7" s="153"/>
    </row>
    <row r="8" spans="1:17" s="154" customFormat="1" ht="41.25" customHeight="1" x14ac:dyDescent="0.25">
      <c r="A8" s="155" t="s">
        <v>84</v>
      </c>
      <c r="B8" s="156">
        <v>4</v>
      </c>
      <c r="C8" s="156">
        <v>14696</v>
      </c>
      <c r="D8" s="156">
        <v>3674</v>
      </c>
      <c r="E8" s="156">
        <v>22427</v>
      </c>
      <c r="F8" s="156">
        <v>24970</v>
      </c>
      <c r="G8" s="156">
        <v>27436</v>
      </c>
      <c r="H8" s="157">
        <v>1.2005889447846751E-2</v>
      </c>
      <c r="I8" s="157">
        <v>2.2651676296822076E-2</v>
      </c>
      <c r="J8" s="157">
        <v>0.03</v>
      </c>
      <c r="K8" s="156">
        <v>16757.629430939705</v>
      </c>
      <c r="L8" s="156">
        <v>20342.700964166452</v>
      </c>
      <c r="M8" s="156">
        <v>3500</v>
      </c>
      <c r="N8" s="158">
        <v>4.7878941231256302</v>
      </c>
      <c r="O8" s="158">
        <v>5.8122002754761288</v>
      </c>
      <c r="P8" s="159" t="s">
        <v>85</v>
      </c>
    </row>
    <row r="9" spans="1:17" s="154" customFormat="1" ht="41.25" customHeight="1" x14ac:dyDescent="0.25">
      <c r="A9" s="149" t="s">
        <v>86</v>
      </c>
      <c r="B9" s="150">
        <v>3</v>
      </c>
      <c r="C9" s="150">
        <v>4812</v>
      </c>
      <c r="D9" s="150">
        <v>1604</v>
      </c>
      <c r="E9" s="150"/>
      <c r="F9" s="150"/>
      <c r="G9" s="150"/>
      <c r="H9" s="151">
        <v>0</v>
      </c>
      <c r="I9" s="151">
        <v>0</v>
      </c>
      <c r="J9" s="151">
        <v>3.7499999999999999E-2</v>
      </c>
      <c r="K9" s="150">
        <v>4812</v>
      </c>
      <c r="L9" s="150">
        <v>7214.3096313873266</v>
      </c>
      <c r="M9" s="150">
        <v>1800</v>
      </c>
      <c r="N9" s="150">
        <v>2.6733333333333333</v>
      </c>
      <c r="O9" s="158">
        <v>4.0079497952151817</v>
      </c>
      <c r="P9" s="152" t="s">
        <v>87</v>
      </c>
      <c r="Q9" s="154" t="s">
        <v>88</v>
      </c>
    </row>
    <row r="10" spans="1:17" x14ac:dyDescent="0.45">
      <c r="A10" s="117" t="s">
        <v>89</v>
      </c>
      <c r="B10" s="44"/>
      <c r="C10" s="44"/>
      <c r="D10" s="44"/>
      <c r="E10" s="116"/>
      <c r="F10" s="116"/>
      <c r="G10" s="116"/>
      <c r="H10" s="42"/>
      <c r="I10" s="42"/>
      <c r="J10" s="42"/>
      <c r="K10" s="42"/>
      <c r="L10" s="42"/>
      <c r="M10" s="44"/>
      <c r="N10" s="44"/>
      <c r="O10" s="42"/>
      <c r="P10" s="42"/>
    </row>
    <row r="11" spans="1:17" x14ac:dyDescent="0.45">
      <c r="A11" s="246" t="s">
        <v>90</v>
      </c>
      <c r="B11" s="246"/>
      <c r="C11" s="44"/>
      <c r="D11" s="44"/>
      <c r="E11" s="116"/>
      <c r="F11" s="116"/>
      <c r="G11" s="116"/>
      <c r="H11" s="42"/>
      <c r="I11" s="42"/>
      <c r="J11" s="42"/>
      <c r="K11" s="42"/>
      <c r="L11" s="42"/>
      <c r="M11" s="44"/>
      <c r="N11" s="44"/>
      <c r="O11" s="42"/>
      <c r="P11" s="42"/>
    </row>
    <row r="12" spans="1:17" x14ac:dyDescent="0.45">
      <c r="A12" s="118" t="s">
        <v>91</v>
      </c>
      <c r="B12" s="148"/>
      <c r="C12" s="44"/>
      <c r="D12" s="44"/>
      <c r="E12" s="116"/>
      <c r="F12" s="116"/>
      <c r="G12" s="116"/>
      <c r="H12" s="42"/>
      <c r="I12" s="42"/>
      <c r="J12" s="42"/>
      <c r="K12" s="42"/>
      <c r="L12" s="42"/>
      <c r="M12" s="44"/>
      <c r="N12" s="44"/>
      <c r="O12" s="42"/>
      <c r="P12" s="42"/>
    </row>
    <row r="13" spans="1:17" x14ac:dyDescent="0.45">
      <c r="A13" s="118"/>
      <c r="B13" s="148"/>
      <c r="C13" s="44"/>
      <c r="D13" s="44"/>
      <c r="E13" s="116"/>
      <c r="F13" s="116"/>
      <c r="G13" s="116"/>
      <c r="H13" s="42"/>
      <c r="I13" s="42"/>
      <c r="J13" s="42"/>
      <c r="K13" s="42"/>
      <c r="L13" s="42"/>
      <c r="M13" s="44"/>
      <c r="N13" s="44"/>
      <c r="O13" s="42"/>
      <c r="P13" s="42"/>
    </row>
    <row r="14" spans="1:17" x14ac:dyDescent="0.45">
      <c r="A14" s="118" t="s">
        <v>92</v>
      </c>
      <c r="B14" s="44"/>
      <c r="C14" s="44"/>
      <c r="D14" s="44"/>
      <c r="E14" s="116"/>
      <c r="F14" s="116"/>
      <c r="G14" s="116"/>
      <c r="H14" s="42"/>
      <c r="I14" s="42"/>
      <c r="J14" s="42"/>
      <c r="K14" s="42"/>
      <c r="L14" s="42"/>
      <c r="M14" s="44"/>
      <c r="N14" s="44"/>
      <c r="O14" s="42"/>
      <c r="P14" s="42"/>
    </row>
    <row r="15" spans="1:17" x14ac:dyDescent="0.45">
      <c r="A15" s="118" t="s">
        <v>93</v>
      </c>
      <c r="B15" s="44"/>
      <c r="C15" s="44"/>
      <c r="D15" s="44"/>
      <c r="E15" s="116"/>
      <c r="F15" s="116"/>
      <c r="G15" s="116"/>
      <c r="H15" s="42"/>
      <c r="I15" s="42"/>
      <c r="J15" s="42"/>
      <c r="K15" s="42"/>
      <c r="L15" s="42"/>
      <c r="M15" s="44"/>
      <c r="N15" s="44"/>
      <c r="O15" s="42"/>
      <c r="P15" s="42"/>
    </row>
    <row r="16" spans="1:17" x14ac:dyDescent="0.45">
      <c r="A16" s="118" t="s">
        <v>94</v>
      </c>
      <c r="B16" s="44"/>
      <c r="C16" s="44"/>
      <c r="D16" s="44"/>
      <c r="E16" s="116"/>
      <c r="F16" s="116"/>
      <c r="G16" s="116"/>
      <c r="H16" s="42"/>
      <c r="I16" s="42"/>
      <c r="J16" s="42"/>
      <c r="K16" s="42"/>
      <c r="L16" s="42"/>
      <c r="M16" s="44"/>
      <c r="N16" s="44"/>
      <c r="O16" s="42"/>
      <c r="P16" s="42"/>
    </row>
    <row r="17" spans="1:19" x14ac:dyDescent="0.45">
      <c r="A17" s="118" t="s">
        <v>95</v>
      </c>
      <c r="B17" s="44"/>
      <c r="C17" s="44"/>
      <c r="D17" s="44"/>
      <c r="E17" s="116"/>
      <c r="F17" s="116"/>
      <c r="G17" s="116"/>
      <c r="H17" s="42"/>
      <c r="I17" s="42"/>
      <c r="J17" s="42"/>
      <c r="K17" s="42"/>
      <c r="L17" s="42"/>
      <c r="M17" s="44"/>
      <c r="N17" s="44"/>
      <c r="O17" s="42"/>
      <c r="P17" s="42"/>
    </row>
    <row r="22" spans="1:19" x14ac:dyDescent="0.45">
      <c r="S22" s="18" t="s">
        <v>96</v>
      </c>
    </row>
  </sheetData>
  <mergeCells count="2">
    <mergeCell ref="K1:O1"/>
    <mergeCell ref="A11:B11"/>
  </mergeCells>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sheetPr>
  <dimension ref="A1:H26"/>
  <sheetViews>
    <sheetView workbookViewId="0">
      <selection sqref="A1:XFD1048576"/>
    </sheetView>
  </sheetViews>
  <sheetFormatPr defaultColWidth="9.140625" defaultRowHeight="21" x14ac:dyDescent="0.45"/>
  <cols>
    <col min="1" max="1" width="41.7109375" style="130" customWidth="1"/>
    <col min="2" max="3" width="14" style="19" customWidth="1"/>
    <col min="4" max="4" width="12" style="128" customWidth="1"/>
    <col min="5" max="5" width="12" style="19" customWidth="1"/>
    <col min="6" max="7" width="14.42578125" style="19" customWidth="1"/>
    <col min="8" max="8" width="12" style="128" customWidth="1"/>
    <col min="9" max="16384" width="9.140625" style="18"/>
  </cols>
  <sheetData>
    <row r="1" spans="1:8" x14ac:dyDescent="0.45">
      <c r="B1" s="247" t="s">
        <v>97</v>
      </c>
      <c r="C1" s="247"/>
      <c r="D1" s="247"/>
      <c r="E1" s="129"/>
      <c r="F1" s="247" t="s">
        <v>98</v>
      </c>
      <c r="G1" s="247"/>
      <c r="H1" s="247"/>
    </row>
    <row r="2" spans="1:8" x14ac:dyDescent="0.45">
      <c r="A2" s="137" t="s">
        <v>99</v>
      </c>
      <c r="B2" s="138"/>
      <c r="C2" s="138"/>
      <c r="D2" s="138"/>
      <c r="E2" s="139"/>
      <c r="F2" s="138"/>
      <c r="G2" s="138"/>
      <c r="H2" s="138"/>
    </row>
    <row r="3" spans="1:8" s="127" customFormat="1" x14ac:dyDescent="0.25">
      <c r="A3" s="131"/>
      <c r="B3" s="145" t="s">
        <v>100</v>
      </c>
      <c r="C3" s="145" t="s">
        <v>101</v>
      </c>
      <c r="D3" s="145" t="s">
        <v>34</v>
      </c>
      <c r="E3" s="145"/>
      <c r="F3" s="145" t="s">
        <v>100</v>
      </c>
      <c r="G3" s="145" t="s">
        <v>101</v>
      </c>
      <c r="H3" s="145" t="s">
        <v>34</v>
      </c>
    </row>
    <row r="4" spans="1:8" x14ac:dyDescent="0.45">
      <c r="A4" s="130" t="s">
        <v>102</v>
      </c>
      <c r="B4" s="19">
        <v>12918</v>
      </c>
      <c r="C4" s="19">
        <v>8466</v>
      </c>
      <c r="D4" s="144">
        <v>21384</v>
      </c>
      <c r="F4" s="19">
        <v>6266</v>
      </c>
      <c r="G4" s="19">
        <v>6060</v>
      </c>
      <c r="H4" s="144">
        <v>12326</v>
      </c>
    </row>
    <row r="5" spans="1:8" x14ac:dyDescent="0.45">
      <c r="A5" s="130" t="s">
        <v>103</v>
      </c>
      <c r="B5" s="19">
        <v>12339</v>
      </c>
      <c r="C5" s="19">
        <v>8929</v>
      </c>
      <c r="D5" s="144">
        <v>21268</v>
      </c>
      <c r="F5" s="19">
        <v>5985</v>
      </c>
      <c r="G5" s="19">
        <v>6391</v>
      </c>
      <c r="H5" s="144">
        <v>12376</v>
      </c>
    </row>
    <row r="6" spans="1:8" x14ac:dyDescent="0.45">
      <c r="A6" s="146" t="s">
        <v>104</v>
      </c>
      <c r="B6" s="147">
        <v>3000</v>
      </c>
      <c r="C6" s="147">
        <v>4193.28</v>
      </c>
      <c r="E6" s="128"/>
      <c r="F6" s="147">
        <v>2250</v>
      </c>
      <c r="G6" s="147">
        <v>3494.4</v>
      </c>
      <c r="H6" s="144"/>
    </row>
    <row r="7" spans="1:8" x14ac:dyDescent="0.45">
      <c r="A7" s="27" t="s">
        <v>105</v>
      </c>
      <c r="B7" s="132">
        <v>7.0893333333333333</v>
      </c>
      <c r="C7" s="132">
        <v>5.0719246031746037</v>
      </c>
      <c r="D7" s="133"/>
      <c r="E7" s="133"/>
      <c r="F7" s="132">
        <v>5.5004444444444447</v>
      </c>
      <c r="G7" s="132">
        <v>3.5416666666666665</v>
      </c>
      <c r="H7" s="144"/>
    </row>
    <row r="8" spans="1:8" x14ac:dyDescent="0.45">
      <c r="D8" s="144"/>
      <c r="H8" s="144"/>
    </row>
    <row r="9" spans="1:8" x14ac:dyDescent="0.45">
      <c r="A9" s="136" t="s">
        <v>106</v>
      </c>
      <c r="B9" s="134"/>
      <c r="C9" s="134"/>
      <c r="D9" s="135"/>
      <c r="E9" s="134"/>
      <c r="F9" s="134"/>
      <c r="G9" s="134"/>
      <c r="H9" s="135"/>
    </row>
    <row r="10" spans="1:8" ht="63" x14ac:dyDescent="0.45">
      <c r="B10" s="143" t="s">
        <v>107</v>
      </c>
      <c r="C10" s="143" t="s">
        <v>108</v>
      </c>
      <c r="D10" s="144"/>
      <c r="E10" s="129"/>
      <c r="F10" s="143" t="s">
        <v>109</v>
      </c>
      <c r="G10" s="143" t="s">
        <v>110</v>
      </c>
      <c r="H10" s="144"/>
    </row>
    <row r="11" spans="1:8" x14ac:dyDescent="0.45">
      <c r="A11" s="130" t="s">
        <v>111</v>
      </c>
      <c r="B11" s="19">
        <v>30</v>
      </c>
      <c r="C11" s="19">
        <v>25</v>
      </c>
      <c r="F11" s="19">
        <v>40</v>
      </c>
      <c r="G11" s="19">
        <v>30</v>
      </c>
    </row>
    <row r="12" spans="1:8" x14ac:dyDescent="0.45">
      <c r="A12" s="130" t="s">
        <v>112</v>
      </c>
      <c r="B12" s="19">
        <v>480</v>
      </c>
      <c r="C12" s="19">
        <v>480</v>
      </c>
      <c r="F12" s="19">
        <v>480</v>
      </c>
      <c r="G12" s="19">
        <v>480</v>
      </c>
    </row>
    <row r="13" spans="1:8" x14ac:dyDescent="0.45">
      <c r="A13" s="130" t="s">
        <v>113</v>
      </c>
      <c r="B13" s="37">
        <v>0.75</v>
      </c>
      <c r="C13" s="37">
        <v>0.7</v>
      </c>
      <c r="F13" s="37">
        <v>0.75</v>
      </c>
      <c r="G13" s="37">
        <v>0.7</v>
      </c>
    </row>
    <row r="14" spans="1:8" x14ac:dyDescent="0.45">
      <c r="A14" s="130" t="s">
        <v>114</v>
      </c>
      <c r="B14" s="19">
        <v>50</v>
      </c>
      <c r="C14" s="19">
        <v>52</v>
      </c>
      <c r="F14" s="19">
        <v>50</v>
      </c>
      <c r="G14" s="19">
        <v>52</v>
      </c>
    </row>
    <row r="15" spans="1:8" x14ac:dyDescent="0.45">
      <c r="A15" s="130" t="s">
        <v>115</v>
      </c>
      <c r="B15" s="19">
        <v>5</v>
      </c>
      <c r="C15" s="19">
        <v>6</v>
      </c>
      <c r="F15" s="19">
        <v>5</v>
      </c>
      <c r="G15" s="19">
        <v>6</v>
      </c>
    </row>
    <row r="16" spans="1:8" x14ac:dyDescent="0.45">
      <c r="A16" s="140" t="s">
        <v>104</v>
      </c>
      <c r="B16" s="141">
        <v>3000</v>
      </c>
      <c r="C16" s="141">
        <v>4193.28</v>
      </c>
      <c r="D16" s="142"/>
      <c r="E16" s="141"/>
      <c r="F16" s="141">
        <v>2250</v>
      </c>
      <c r="G16" s="141">
        <v>3494.4</v>
      </c>
    </row>
    <row r="18" spans="1:7" s="128" customFormat="1" x14ac:dyDescent="0.45">
      <c r="A18" s="126" t="s">
        <v>89</v>
      </c>
      <c r="B18" s="19"/>
      <c r="C18" s="19"/>
      <c r="E18" s="19"/>
      <c r="F18" s="19"/>
      <c r="G18" s="19"/>
    </row>
    <row r="19" spans="1:7" s="128" customFormat="1" x14ac:dyDescent="0.45">
      <c r="A19" s="18" t="s">
        <v>116</v>
      </c>
      <c r="B19" s="19"/>
      <c r="C19" s="19"/>
      <c r="E19" s="19"/>
      <c r="F19" s="19"/>
      <c r="G19" s="19"/>
    </row>
    <row r="26" spans="1:7" s="128" customFormat="1" x14ac:dyDescent="0.45">
      <c r="A26" s="130"/>
      <c r="B26" s="19"/>
      <c r="C26" s="82"/>
      <c r="E26" s="19"/>
      <c r="F26" s="19"/>
      <c r="G26" s="19"/>
    </row>
  </sheetData>
  <mergeCells count="2">
    <mergeCell ref="B1:D1"/>
    <mergeCell ref="F1:H1"/>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M20"/>
  <sheetViews>
    <sheetView workbookViewId="0">
      <selection activeCell="H11" sqref="H11"/>
    </sheetView>
  </sheetViews>
  <sheetFormatPr defaultRowHeight="15" x14ac:dyDescent="0.25"/>
  <cols>
    <col min="1" max="1" width="31.140625" bestFit="1" customWidth="1"/>
    <col min="2" max="2" width="17.28515625" style="1" customWidth="1"/>
    <col min="3" max="3" width="14.85546875" style="1" customWidth="1"/>
    <col min="4" max="4" width="15" style="1" hidden="1" customWidth="1"/>
    <col min="5" max="5" width="14.85546875" style="1" hidden="1" customWidth="1"/>
    <col min="6" max="6" width="17.85546875" style="1" customWidth="1"/>
    <col min="7" max="7" width="2.42578125" customWidth="1"/>
    <col min="8" max="9" width="16" customWidth="1"/>
    <col min="10" max="10" width="24.28515625" customWidth="1"/>
  </cols>
  <sheetData>
    <row r="1" spans="1:13" ht="65.25" x14ac:dyDescent="0.25">
      <c r="A1" s="20" t="s">
        <v>3</v>
      </c>
      <c r="B1" s="185" t="s">
        <v>117</v>
      </c>
      <c r="C1" s="185" t="s">
        <v>118</v>
      </c>
      <c r="D1" s="185" t="s">
        <v>119</v>
      </c>
      <c r="E1" s="185" t="s">
        <v>120</v>
      </c>
      <c r="F1" s="185" t="s">
        <v>121</v>
      </c>
      <c r="G1" s="169"/>
      <c r="H1" s="160" t="s">
        <v>122</v>
      </c>
      <c r="I1" s="160" t="s">
        <v>123</v>
      </c>
      <c r="J1" s="160" t="s">
        <v>124</v>
      </c>
    </row>
    <row r="2" spans="1:13" ht="21" x14ac:dyDescent="0.45">
      <c r="A2" s="18" t="s">
        <v>155</v>
      </c>
      <c r="B2" s="19">
        <v>0</v>
      </c>
      <c r="C2" s="19">
        <v>0</v>
      </c>
      <c r="D2" s="19">
        <v>0</v>
      </c>
      <c r="E2" s="19">
        <v>0</v>
      </c>
      <c r="F2" s="19">
        <v>0</v>
      </c>
      <c r="G2" s="169"/>
      <c r="H2" s="19">
        <v>0</v>
      </c>
      <c r="I2" s="19">
        <v>0</v>
      </c>
      <c r="J2" s="19">
        <v>0</v>
      </c>
      <c r="M2" s="16"/>
    </row>
    <row r="3" spans="1:13" ht="21" x14ac:dyDescent="0.45">
      <c r="A3" s="45" t="s">
        <v>156</v>
      </c>
      <c r="B3" s="46">
        <v>0</v>
      </c>
      <c r="C3" s="46">
        <v>0</v>
      </c>
      <c r="D3" s="46">
        <v>0</v>
      </c>
      <c r="E3" s="46">
        <v>0</v>
      </c>
      <c r="F3" s="46">
        <v>0</v>
      </c>
      <c r="G3" s="169"/>
      <c r="H3" s="46">
        <v>0</v>
      </c>
      <c r="I3" s="46">
        <v>0</v>
      </c>
      <c r="J3" s="46">
        <v>0</v>
      </c>
    </row>
    <row r="4" spans="1:13" ht="21" x14ac:dyDescent="0.45">
      <c r="A4" s="18" t="s">
        <v>20</v>
      </c>
      <c r="B4" s="19">
        <v>0</v>
      </c>
      <c r="C4" s="19">
        <v>0</v>
      </c>
      <c r="D4" s="19">
        <v>0</v>
      </c>
      <c r="E4" s="19">
        <v>0</v>
      </c>
      <c r="F4" s="19">
        <v>0</v>
      </c>
      <c r="G4" s="169"/>
      <c r="H4" s="19">
        <v>0</v>
      </c>
      <c r="I4" s="19">
        <v>0</v>
      </c>
      <c r="J4" s="19">
        <v>0</v>
      </c>
    </row>
    <row r="5" spans="1:13" ht="21" x14ac:dyDescent="0.45">
      <c r="A5" s="45" t="s">
        <v>21</v>
      </c>
      <c r="B5" s="46">
        <v>1</v>
      </c>
      <c r="C5" s="46">
        <v>743</v>
      </c>
      <c r="D5" s="46">
        <v>579.53038522795146</v>
      </c>
      <c r="E5" s="46">
        <v>163.46961477204857</v>
      </c>
      <c r="F5" s="46">
        <v>743</v>
      </c>
      <c r="G5" s="169"/>
      <c r="H5" s="46">
        <v>810.81454242499456</v>
      </c>
      <c r="I5" s="46">
        <v>950.4400776849933</v>
      </c>
      <c r="J5" s="46">
        <v>1</v>
      </c>
    </row>
    <row r="6" spans="1:13" ht="21" x14ac:dyDescent="0.45">
      <c r="A6" s="18" t="s">
        <v>22</v>
      </c>
      <c r="B6" s="19">
        <v>0</v>
      </c>
      <c r="C6" s="19">
        <v>0</v>
      </c>
      <c r="D6" s="19">
        <v>0</v>
      </c>
      <c r="E6" s="19">
        <v>0</v>
      </c>
      <c r="F6" s="19">
        <v>0</v>
      </c>
      <c r="G6" s="169"/>
      <c r="H6" s="19">
        <v>0</v>
      </c>
      <c r="I6" s="19">
        <v>0</v>
      </c>
      <c r="J6" s="19">
        <v>0</v>
      </c>
    </row>
    <row r="7" spans="1:13" ht="21" x14ac:dyDescent="0.45">
      <c r="A7" s="45" t="s">
        <v>23</v>
      </c>
      <c r="B7" s="46">
        <v>0</v>
      </c>
      <c r="C7" s="46">
        <v>0</v>
      </c>
      <c r="D7" s="46">
        <v>0</v>
      </c>
      <c r="E7" s="46">
        <v>0</v>
      </c>
      <c r="F7" s="46">
        <v>0</v>
      </c>
      <c r="G7" s="169"/>
      <c r="H7" s="46">
        <v>0</v>
      </c>
      <c r="I7" s="46">
        <v>0</v>
      </c>
      <c r="J7" s="46">
        <v>0</v>
      </c>
    </row>
    <row r="8" spans="1:13" ht="21" x14ac:dyDescent="0.45">
      <c r="A8" s="18" t="s">
        <v>24</v>
      </c>
      <c r="B8" s="19">
        <v>0</v>
      </c>
      <c r="C8" s="19">
        <v>0</v>
      </c>
      <c r="D8" s="19">
        <v>0</v>
      </c>
      <c r="E8" s="19">
        <v>0</v>
      </c>
      <c r="F8" s="19">
        <v>0</v>
      </c>
      <c r="G8" s="169"/>
      <c r="H8" s="19">
        <v>0</v>
      </c>
      <c r="I8" s="19">
        <v>0</v>
      </c>
      <c r="J8" s="19">
        <v>0</v>
      </c>
    </row>
    <row r="9" spans="1:13" ht="21" x14ac:dyDescent="0.45">
      <c r="A9" s="45" t="s">
        <v>159</v>
      </c>
      <c r="B9" s="46">
        <v>2</v>
      </c>
      <c r="C9" s="46">
        <v>562</v>
      </c>
      <c r="D9" s="46">
        <v>556.38</v>
      </c>
      <c r="E9" s="46">
        <v>5.62</v>
      </c>
      <c r="F9" s="46">
        <v>281</v>
      </c>
      <c r="G9" s="169"/>
      <c r="H9" s="46">
        <v>732.97870139795441</v>
      </c>
      <c r="I9" s="46">
        <v>859.9942910406071</v>
      </c>
      <c r="J9" s="46">
        <v>2</v>
      </c>
    </row>
    <row r="10" spans="1:13" ht="21" x14ac:dyDescent="0.45">
      <c r="A10" s="18" t="s">
        <v>26</v>
      </c>
      <c r="B10" s="19">
        <v>0</v>
      </c>
      <c r="C10" s="19">
        <v>0</v>
      </c>
      <c r="D10" s="19">
        <v>0</v>
      </c>
      <c r="E10" s="19">
        <v>0</v>
      </c>
      <c r="F10" s="19">
        <v>0</v>
      </c>
      <c r="G10" s="169"/>
      <c r="H10" s="19">
        <v>0</v>
      </c>
      <c r="I10" s="19">
        <v>0</v>
      </c>
      <c r="J10" s="19">
        <v>0</v>
      </c>
    </row>
    <row r="11" spans="1:13" ht="21" x14ac:dyDescent="0.45">
      <c r="A11" s="45" t="s">
        <v>27</v>
      </c>
      <c r="B11" s="46">
        <v>3</v>
      </c>
      <c r="C11" s="46">
        <v>4082</v>
      </c>
      <c r="D11" s="46">
        <v>4077.8672259184264</v>
      </c>
      <c r="E11" s="46">
        <v>4.1327740815736185</v>
      </c>
      <c r="F11" s="46">
        <v>1360.6666666666667</v>
      </c>
      <c r="G11" s="169"/>
      <c r="H11" s="46">
        <v>5766.4662082030345</v>
      </c>
      <c r="I11" s="46">
        <v>6758.4418219044474</v>
      </c>
      <c r="J11" s="46">
        <v>4</v>
      </c>
    </row>
    <row r="12" spans="1:13" ht="21" x14ac:dyDescent="0.45">
      <c r="A12" s="18" t="s">
        <v>28</v>
      </c>
      <c r="B12" s="19">
        <v>0</v>
      </c>
      <c r="C12" s="19">
        <v>0</v>
      </c>
      <c r="D12" s="19">
        <v>0</v>
      </c>
      <c r="E12" s="19">
        <v>0</v>
      </c>
      <c r="F12" s="19">
        <v>0</v>
      </c>
      <c r="G12" s="169"/>
      <c r="H12" s="19">
        <v>0</v>
      </c>
      <c r="I12" s="19">
        <v>0</v>
      </c>
      <c r="J12" s="19">
        <v>0</v>
      </c>
    </row>
    <row r="13" spans="1:13" ht="21" x14ac:dyDescent="0.45">
      <c r="A13" s="45" t="s">
        <v>162</v>
      </c>
      <c r="B13" s="46">
        <v>0</v>
      </c>
      <c r="C13" s="46">
        <v>0</v>
      </c>
      <c r="D13" s="46">
        <v>0</v>
      </c>
      <c r="E13" s="46">
        <v>0</v>
      </c>
      <c r="F13" s="46">
        <v>0</v>
      </c>
      <c r="G13" s="169"/>
      <c r="H13" s="46">
        <v>0</v>
      </c>
      <c r="I13" s="46">
        <v>0</v>
      </c>
      <c r="J13" s="46">
        <v>0</v>
      </c>
    </row>
    <row r="14" spans="1:13" ht="21" x14ac:dyDescent="0.45">
      <c r="A14" s="18" t="s">
        <v>163</v>
      </c>
      <c r="B14" s="19">
        <v>0</v>
      </c>
      <c r="C14" s="19">
        <v>0</v>
      </c>
      <c r="D14" s="19">
        <v>0</v>
      </c>
      <c r="E14" s="19">
        <v>0</v>
      </c>
      <c r="F14" s="19">
        <v>0</v>
      </c>
      <c r="G14" s="169"/>
      <c r="H14" s="19">
        <v>0</v>
      </c>
      <c r="I14" s="19">
        <v>0</v>
      </c>
      <c r="J14" s="19">
        <v>0</v>
      </c>
    </row>
    <row r="15" spans="1:13" ht="21" x14ac:dyDescent="0.45">
      <c r="A15" s="45" t="s">
        <v>30</v>
      </c>
      <c r="B15" s="46"/>
      <c r="C15" s="46"/>
      <c r="D15" s="46"/>
      <c r="E15" s="46"/>
      <c r="F15" s="46"/>
      <c r="G15" s="169"/>
      <c r="H15" s="46">
        <v>0</v>
      </c>
      <c r="I15" s="46">
        <v>0</v>
      </c>
      <c r="J15" s="46">
        <v>0</v>
      </c>
    </row>
    <row r="16" spans="1:13" ht="21" x14ac:dyDescent="0.45">
      <c r="A16" s="18" t="s">
        <v>31</v>
      </c>
      <c r="B16" s="19">
        <v>0</v>
      </c>
      <c r="C16" s="19">
        <v>0</v>
      </c>
      <c r="D16" s="19">
        <v>0</v>
      </c>
      <c r="E16" s="19">
        <v>0</v>
      </c>
      <c r="F16" s="19">
        <v>0</v>
      </c>
      <c r="G16" s="169"/>
      <c r="H16" s="19">
        <v>0</v>
      </c>
      <c r="I16" s="19">
        <v>0</v>
      </c>
      <c r="J16" s="19">
        <v>0</v>
      </c>
    </row>
    <row r="17" spans="1:10" ht="21" x14ac:dyDescent="0.45">
      <c r="A17" s="45" t="s">
        <v>32</v>
      </c>
      <c r="B17" s="46">
        <v>4</v>
      </c>
      <c r="C17" s="46">
        <v>3771</v>
      </c>
      <c r="D17" s="46">
        <v>3073.6507093909854</v>
      </c>
      <c r="E17" s="46">
        <v>697.34929060901459</v>
      </c>
      <c r="F17" s="46">
        <v>942.75</v>
      </c>
      <c r="G17" s="169"/>
      <c r="H17" s="46">
        <v>4032.8960865333083</v>
      </c>
      <c r="I17" s="46">
        <v>4731.7440522676698</v>
      </c>
      <c r="J17" s="46">
        <v>4</v>
      </c>
    </row>
    <row r="18" spans="1:10" ht="21" x14ac:dyDescent="0.45">
      <c r="A18" s="18" t="s">
        <v>164</v>
      </c>
      <c r="B18" s="19">
        <v>2</v>
      </c>
      <c r="C18" s="19">
        <v>393</v>
      </c>
      <c r="D18" s="19">
        <v>0</v>
      </c>
      <c r="E18" s="19">
        <v>0</v>
      </c>
      <c r="F18" s="19">
        <v>196.5</v>
      </c>
      <c r="G18" s="169"/>
      <c r="H18" s="19">
        <v>484.09623459702414</v>
      </c>
      <c r="I18" s="19">
        <v>568.42564461177551</v>
      </c>
      <c r="J18" s="19">
        <v>1</v>
      </c>
    </row>
    <row r="19" spans="1:10" ht="21" x14ac:dyDescent="0.45">
      <c r="A19" s="28" t="s">
        <v>34</v>
      </c>
      <c r="B19" s="28">
        <v>12</v>
      </c>
      <c r="C19" s="28">
        <v>9551</v>
      </c>
      <c r="D19" s="28">
        <v>8287.4283205373631</v>
      </c>
      <c r="E19" s="28">
        <v>870.57167946263678</v>
      </c>
      <c r="F19" s="28">
        <v>795.91666666666663</v>
      </c>
      <c r="G19" s="169"/>
      <c r="H19" s="28">
        <v>11827.251773156315</v>
      </c>
      <c r="I19" s="28">
        <v>13869.045887509494</v>
      </c>
      <c r="J19" s="28">
        <v>12</v>
      </c>
    </row>
    <row r="20" spans="1:10" s="221" customFormat="1" ht="69.75" customHeight="1" x14ac:dyDescent="0.25">
      <c r="A20" s="219"/>
      <c r="B20" s="220"/>
      <c r="C20" s="220"/>
      <c r="D20" s="220"/>
      <c r="E20" s="220"/>
      <c r="F20" s="226" t="s">
        <v>125</v>
      </c>
      <c r="G20" s="219"/>
      <c r="H20" s="248" t="s">
        <v>126</v>
      </c>
      <c r="I20" s="249"/>
      <c r="J20" s="222" t="s">
        <v>127</v>
      </c>
    </row>
  </sheetData>
  <mergeCells count="1">
    <mergeCell ref="H20:I20"/>
  </mergeCells>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sheetPr>
  <dimension ref="A1:I18"/>
  <sheetViews>
    <sheetView workbookViewId="0">
      <selection activeCell="B9" sqref="B9"/>
    </sheetView>
  </sheetViews>
  <sheetFormatPr defaultRowHeight="15" x14ac:dyDescent="0.25"/>
  <cols>
    <col min="1" max="1" width="23.140625" bestFit="1" customWidth="1"/>
    <col min="2" max="2" width="17" style="1" customWidth="1"/>
    <col min="3" max="3" width="1.140625" customWidth="1"/>
    <col min="4" max="4" width="15" style="1" customWidth="1"/>
    <col min="5" max="5" width="15" style="3" customWidth="1"/>
    <col min="6" max="6" width="33.5703125" style="1" customWidth="1"/>
    <col min="7" max="7" width="1.140625" customWidth="1"/>
  </cols>
  <sheetData>
    <row r="1" spans="1:9" ht="63" x14ac:dyDescent="0.25">
      <c r="A1" s="105" t="s">
        <v>3</v>
      </c>
      <c r="B1" s="106" t="s">
        <v>128</v>
      </c>
      <c r="C1" s="169"/>
      <c r="D1" s="170" t="s">
        <v>129</v>
      </c>
      <c r="E1" s="170" t="s">
        <v>130</v>
      </c>
      <c r="F1" s="170" t="s">
        <v>131</v>
      </c>
      <c r="G1" s="169"/>
    </row>
    <row r="2" spans="1:9" ht="21" x14ac:dyDescent="0.45">
      <c r="A2" s="18" t="s">
        <v>17</v>
      </c>
      <c r="B2" s="19">
        <v>27441</v>
      </c>
      <c r="C2" s="169"/>
      <c r="D2" s="19">
        <v>0</v>
      </c>
      <c r="E2" s="37">
        <v>0</v>
      </c>
      <c r="F2" s="173" t="s">
        <v>132</v>
      </c>
      <c r="G2" s="169"/>
    </row>
    <row r="3" spans="1:9" ht="21" x14ac:dyDescent="0.45">
      <c r="A3" s="45" t="s">
        <v>133</v>
      </c>
      <c r="B3" s="46">
        <v>1273</v>
      </c>
      <c r="C3" s="169"/>
      <c r="D3" s="46">
        <v>0</v>
      </c>
      <c r="E3" s="167">
        <v>0</v>
      </c>
      <c r="F3" s="172" t="s">
        <v>132</v>
      </c>
      <c r="G3" s="169"/>
    </row>
    <row r="4" spans="1:9" ht="21" x14ac:dyDescent="0.45">
      <c r="A4" s="18" t="s">
        <v>20</v>
      </c>
      <c r="B4" s="19">
        <v>1968</v>
      </c>
      <c r="C4" s="169"/>
      <c r="D4" s="19">
        <v>0</v>
      </c>
      <c r="E4" s="37">
        <v>0</v>
      </c>
      <c r="F4" s="173" t="s">
        <v>132</v>
      </c>
      <c r="G4" s="169"/>
    </row>
    <row r="5" spans="1:9" ht="21" x14ac:dyDescent="0.45">
      <c r="A5" s="45" t="s">
        <v>21</v>
      </c>
      <c r="B5" s="46">
        <v>36033</v>
      </c>
      <c r="C5" s="169"/>
      <c r="D5" s="46">
        <v>7927.7262840931708</v>
      </c>
      <c r="E5" s="167">
        <v>0.22001294047382042</v>
      </c>
      <c r="F5" s="46">
        <v>6.6064385700776427</v>
      </c>
      <c r="G5" s="169"/>
    </row>
    <row r="6" spans="1:9" ht="21" x14ac:dyDescent="0.45">
      <c r="A6" s="18" t="s">
        <v>22</v>
      </c>
      <c r="B6" s="19">
        <v>33194</v>
      </c>
      <c r="C6" s="169"/>
      <c r="D6" s="19">
        <v>0</v>
      </c>
      <c r="E6" s="37">
        <v>0</v>
      </c>
      <c r="F6" s="19">
        <v>0</v>
      </c>
      <c r="G6" s="169"/>
    </row>
    <row r="7" spans="1:9" ht="21" x14ac:dyDescent="0.45">
      <c r="A7" s="45" t="s">
        <v>23</v>
      </c>
      <c r="B7" s="46">
        <v>26077</v>
      </c>
      <c r="C7" s="169"/>
      <c r="D7" s="46">
        <v>1896.6999698057502</v>
      </c>
      <c r="E7" s="167">
        <v>7.2734592545375246E-2</v>
      </c>
      <c r="F7" s="46">
        <v>1.5805833081714586</v>
      </c>
      <c r="G7" s="169"/>
    </row>
    <row r="8" spans="1:9" ht="21" x14ac:dyDescent="0.45">
      <c r="A8" s="18" t="s">
        <v>24</v>
      </c>
      <c r="B8" s="19">
        <v>32210</v>
      </c>
      <c r="C8" s="169"/>
      <c r="D8" s="19">
        <v>4.9213139801375094</v>
      </c>
      <c r="E8" s="37">
        <v>1.5278838808250572E-4</v>
      </c>
      <c r="F8" s="19">
        <v>4.1010949834479242E-3</v>
      </c>
      <c r="G8" s="169"/>
    </row>
    <row r="9" spans="1:9" ht="21" x14ac:dyDescent="0.45">
      <c r="A9" s="45" t="s">
        <v>25</v>
      </c>
      <c r="B9" s="46">
        <v>19790</v>
      </c>
      <c r="C9" s="169"/>
      <c r="D9" s="46">
        <v>118.46206975941062</v>
      </c>
      <c r="E9" s="167">
        <v>5.9859560262461153E-3</v>
      </c>
      <c r="F9" s="46">
        <v>9.8718391466175517E-2</v>
      </c>
      <c r="G9" s="169"/>
      <c r="I9" t="s">
        <v>134</v>
      </c>
    </row>
    <row r="10" spans="1:9" ht="21" x14ac:dyDescent="0.45">
      <c r="A10" s="18" t="s">
        <v>26</v>
      </c>
      <c r="B10" s="19">
        <v>23051</v>
      </c>
      <c r="C10" s="169"/>
      <c r="D10" s="19">
        <v>3818.008681925809</v>
      </c>
      <c r="E10" s="37">
        <v>0.16563310407035742</v>
      </c>
      <c r="F10" s="19">
        <v>3.181673901604841</v>
      </c>
      <c r="G10" s="169"/>
    </row>
    <row r="11" spans="1:9" ht="21" x14ac:dyDescent="0.45">
      <c r="A11" s="45" t="s">
        <v>27</v>
      </c>
      <c r="B11" s="46">
        <v>8244</v>
      </c>
      <c r="C11" s="169"/>
      <c r="D11" s="46">
        <v>8.3465432455886592</v>
      </c>
      <c r="E11" s="167">
        <v>1.0124385305177899E-3</v>
      </c>
      <c r="F11" s="46">
        <v>6.9554527046572162E-3</v>
      </c>
      <c r="G11" s="169"/>
    </row>
    <row r="12" spans="1:9" ht="21" x14ac:dyDescent="0.45">
      <c r="A12" s="18" t="s">
        <v>28</v>
      </c>
      <c r="B12" s="19">
        <v>24622</v>
      </c>
      <c r="C12" s="169"/>
      <c r="D12" s="19">
        <v>21952.354148109469</v>
      </c>
      <c r="E12" s="37">
        <v>0.91</v>
      </c>
      <c r="F12" s="173" t="s">
        <v>135</v>
      </c>
      <c r="G12" s="169"/>
    </row>
    <row r="13" spans="1:9" ht="21" x14ac:dyDescent="0.45">
      <c r="A13" s="45" t="s">
        <v>136</v>
      </c>
      <c r="B13" s="46">
        <v>5345</v>
      </c>
      <c r="C13" s="169"/>
      <c r="D13" s="46">
        <v>998.45362663495837</v>
      </c>
      <c r="E13" s="167">
        <v>0.18680142687277052</v>
      </c>
      <c r="F13" s="46">
        <v>0.8320446888624653</v>
      </c>
      <c r="G13" s="169"/>
    </row>
    <row r="14" spans="1:9" ht="21" x14ac:dyDescent="0.45">
      <c r="A14" s="18" t="s">
        <v>30</v>
      </c>
      <c r="B14" s="19">
        <v>15078</v>
      </c>
      <c r="C14" s="169"/>
      <c r="D14" s="19">
        <v>182.43635659665085</v>
      </c>
      <c r="E14" s="37">
        <v>1.2099506340141323E-2</v>
      </c>
      <c r="F14" s="19">
        <v>0.1520302971638757</v>
      </c>
      <c r="G14" s="169"/>
    </row>
    <row r="15" spans="1:9" ht="21" x14ac:dyDescent="0.45">
      <c r="A15" s="45" t="s">
        <v>31</v>
      </c>
      <c r="B15" s="46">
        <v>13206</v>
      </c>
      <c r="C15" s="169"/>
      <c r="D15" s="46">
        <v>29.499627699180937</v>
      </c>
      <c r="E15" s="167">
        <v>2.2338049143708115E-3</v>
      </c>
      <c r="F15" s="46">
        <v>2.4583023082650781E-2</v>
      </c>
      <c r="G15" s="169"/>
    </row>
    <row r="16" spans="1:9" ht="21" x14ac:dyDescent="0.45">
      <c r="A16" s="18" t="s">
        <v>32</v>
      </c>
      <c r="B16" s="19">
        <v>15463</v>
      </c>
      <c r="C16" s="169"/>
      <c r="D16" s="19">
        <v>2859.4834475436733</v>
      </c>
      <c r="E16" s="37">
        <v>0.18492423511244088</v>
      </c>
      <c r="F16" s="19">
        <v>2.382902872953061</v>
      </c>
      <c r="G16" s="169"/>
    </row>
    <row r="17" spans="1:7" ht="21" x14ac:dyDescent="0.45">
      <c r="A17" s="45" t="s">
        <v>33</v>
      </c>
      <c r="B17" s="46">
        <v>5446</v>
      </c>
      <c r="C17" s="169"/>
      <c r="D17" s="46">
        <v>50.708650380456547</v>
      </c>
      <c r="E17" s="167">
        <v>9.3111734080897068E-3</v>
      </c>
      <c r="F17" s="46">
        <v>4.2257208650380455E-2</v>
      </c>
      <c r="G17" s="169"/>
    </row>
    <row r="18" spans="1:7" ht="21" x14ac:dyDescent="0.45">
      <c r="A18" s="28" t="s">
        <v>34</v>
      </c>
      <c r="B18" s="28">
        <v>288441</v>
      </c>
      <c r="C18" s="169"/>
      <c r="D18" s="28">
        <v>39847.100719774251</v>
      </c>
      <c r="E18" s="168">
        <v>0.13814645185592289</v>
      </c>
      <c r="F18" s="28">
        <v>14.912288809720653</v>
      </c>
      <c r="G18" s="169"/>
    </row>
  </sheetData>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E9C137C317FBC4796D76558A9D2C81F" ma:contentTypeVersion="12" ma:contentTypeDescription="Create a new document." ma:contentTypeScope="" ma:versionID="8c97d6a200dd005fb01045c61176bb13">
  <xsd:schema xmlns:xsd="http://www.w3.org/2001/XMLSchema" xmlns:xs="http://www.w3.org/2001/XMLSchema" xmlns:p="http://schemas.microsoft.com/office/2006/metadata/properties" xmlns:ns2="1eedd97a-b139-4e1c-a310-586d8c9424d4" xmlns:ns3="b4021fc9-04d2-43e8-a78e-2a7827227fca" targetNamespace="http://schemas.microsoft.com/office/2006/metadata/properties" ma:root="true" ma:fieldsID="618ff5964d244b1c1e31f6765153474a" ns2:_="" ns3:_="">
    <xsd:import namespace="1eedd97a-b139-4e1c-a310-586d8c9424d4"/>
    <xsd:import namespace="b4021fc9-04d2-43e8-a78e-2a7827227fc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edd97a-b139-4e1c-a310-586d8c9424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021fc9-04d2-43e8-a78e-2a7827227fc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36E257-3128-49DD-AC3F-0EBC1669C9E2}">
  <ds:schemaRefs>
    <ds:schemaRef ds:uri="http://schemas.microsoft.com/office/infopath/2007/PartnerControls"/>
    <ds:schemaRef ds:uri="1eedd97a-b139-4e1c-a310-586d8c9424d4"/>
    <ds:schemaRef ds:uri="http://schemas.microsoft.com/office/2006/metadata/properties"/>
    <ds:schemaRef ds:uri="http://www.w3.org/XML/1998/namespace"/>
    <ds:schemaRef ds:uri="http://purl.org/dc/dcmitype/"/>
    <ds:schemaRef ds:uri="http://schemas.openxmlformats.org/package/2006/metadata/core-properties"/>
    <ds:schemaRef ds:uri="b4021fc9-04d2-43e8-a78e-2a7827227fca"/>
    <ds:schemaRef ds:uri="http://schemas.microsoft.com/office/2006/documentManagement/types"/>
    <ds:schemaRef ds:uri="http://purl.org/dc/elements/1.1/"/>
    <ds:schemaRef ds:uri="http://purl.org/dc/terms/"/>
  </ds:schemaRefs>
</ds:datastoreItem>
</file>

<file path=customXml/itemProps2.xml><?xml version="1.0" encoding="utf-8"?>
<ds:datastoreItem xmlns:ds="http://schemas.openxmlformats.org/officeDocument/2006/customXml" ds:itemID="{3D5C0A93-B5DB-439C-BF4F-ED12055AF9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edd97a-b139-4e1c-a310-586d8c9424d4"/>
    <ds:schemaRef ds:uri="b4021fc9-04d2-43e8-a78e-2a7827227f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448163-186B-4ACF-9290-74DE9E4316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2018 ACC MP Overview</vt:lpstr>
      <vt:lpstr>2019 ACC Programming Overview</vt:lpstr>
      <vt:lpstr>Dashboards&gt;</vt:lpstr>
      <vt:lpstr>1. Physician Productivity</vt:lpstr>
      <vt:lpstr>2. Projection Comparison</vt:lpstr>
      <vt:lpstr>3. DI Forecasting</vt:lpstr>
      <vt:lpstr>4. Non-Invasive</vt:lpstr>
      <vt:lpstr>5. Proc Vol</vt:lpstr>
      <vt:lpstr>6. Peds Volume</vt:lpstr>
      <vt:lpstr>7. Staffing</vt:lpstr>
      <vt:lpstr>8. Staffing Model</vt:lpstr>
      <vt:lpstr>9. Building Occ'y</vt:lpstr>
      <vt:lpstr>10. Room Turns</vt:lpstr>
      <vt:lpstr>Data Sources&gt;</vt:lpstr>
      <vt:lpstr>Amb Visits</vt:lpstr>
      <vt:lpstr>Lab and Radiology ACC</vt:lpstr>
      <vt:lpstr>Procedure Volumes</vt:lpstr>
      <vt:lpstr>Employee Health</vt:lpstr>
      <vt:lpstr>Staffing Data</vt:lpstr>
      <vt:lpstr>capacity validation</vt:lpstr>
      <vt:lpstr>Sheet1</vt:lpstr>
      <vt:lpstr>MD Staffing</vt:lpstr>
      <vt:lpstr>Staffing Pivot</vt:lpstr>
      <vt:lpstr>Staffing Pivot 2</vt:lpstr>
      <vt:lpstr>Staffing Cohorts</vt:lpstr>
      <vt:lpstr>Staffing Other</vt:lpstr>
    </vt:vector>
  </TitlesOfParts>
  <Manager/>
  <Company>NBBJ</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Vishey</dc:creator>
  <cp:keywords/>
  <dc:description/>
  <cp:lastModifiedBy>Chris Vishey</cp:lastModifiedBy>
  <cp:revision/>
  <dcterms:created xsi:type="dcterms:W3CDTF">2019-07-11T20:05:41Z</dcterms:created>
  <dcterms:modified xsi:type="dcterms:W3CDTF">2019-12-06T00:29:50Z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0x0101007E9C137C317FBC4796D76558A9D2C81F</vt:lpwstr>
  </property>
</Properties>
</file>